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<sst xmlns="http://schemas.openxmlformats.org/spreadsheetml/2006/main" count="194" uniqueCount="192">
  <si>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</si>
  <si>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</si>
  <si>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</si>
  <si>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</si>
  <si>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</si>
  <si>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</si>
  <si>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</si>
  <si>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</si>
  <si>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</si>
  <si>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</si>
  <si>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</si>
  <si>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</si>
  <si>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</si>
  <si>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</si>
  <si>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</si>
  <si>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</si>
  <si>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</si>
  <si>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</si>
  <si>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</si>
  <si>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</si>
  <si>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</si>
  <si>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</si>
  <si>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</si>
  <si>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</si>
  <si>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</si>
  <si>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</si>
  <si>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</si>
  <si>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</si>
  <si>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</si>
  <si>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</si>
  <si>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</si>
  <si>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</si>
  <si>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</si>
  <si>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</si>
  <si>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</si>
  <si>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</si>
  <si>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</si>
  <si>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</si>
  <si>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</si>
  <si>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</si>
  <si>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</si>
  <si>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</si>
  <si>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</si>
  <si>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</si>
  <si>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</si>
  <si>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</si>
  <si>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</si>
  <si>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</si>
  <si>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</si>
  <si>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</si>
  <si>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</si>
  <si>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</si>
  <si>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</si>
  <si>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</si>
  <si>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</si>
  <si>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</si>
  <si>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</si>
  <si>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</si>
  <si>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</si>
  <si>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</si>
  <si>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</si>
  <si>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</si>
  <si>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</si>
  <si>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</si>
  <si>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</si>
  <si>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</si>
  <si>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</si>
  <si>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</si>
  <si>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</si>
  <si>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</si>
  <si>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</si>
  <si>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</si>
  <si>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</si>
  <si>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</si>
  <si>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</si>
  <si>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</si>
  <si>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</si>
  <si>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</si>
  <si>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</si>
  <si>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</si>
  <si>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</si>
  <si>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</si>
  <si>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</si>
  <si>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</si>
  <si>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</si>
  <si>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</si>
  <si>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</si>
  <si>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</si>
  <si>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</si>
  <si>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</si>
  <si>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</si>
  <si>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</si>
  <si>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</si>
  <si>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</si>
  <si>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</si>
  <si>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</si>
  <si>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</si>
  <si>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</si>
  <si>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</si>
  <si>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</si>
  <si>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</si>
  <si>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</si>
  <si>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</si>
  <si>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</si>
  <si>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</si>
  <si>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</si>
  <si>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</si>
  <si>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</si>
  <si>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</si>
  <si>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</si>
  <si>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</si>
  <si>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</si>
  <si>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</si>
  <si>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</si>
  <si>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</si>
  <si>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</si>
  <si>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</si>
  <si>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</si>
  <si>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</si>
  <si>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</si>
  <si>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</si>
  <si>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</si>
  <si>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</si>
  <si>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</si>
  <si>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</si>
  <si>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</si>
  <si>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</si>
  <si>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</si>
  <si>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</si>
  <si>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</si>
  <si>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</si>
  <si>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</si>
  <si>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</si>
  <si>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</si>
  <si>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</si>
  <si>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</si>
  <si>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</si>
  <si>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</si>
  <si>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</si>
  <si>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</si>
  <si>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</si>
  <si>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</si>
  <si>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</si>
  <si>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</si>
  <si>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</si>
  <si>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</si>
  <si>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</si>
  <si>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</si>
  <si>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</si>
  <si>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</si>
  <si>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</si>
  <si>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</si>
  <si>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</si>
  <si>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</si>
  <si>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</si>
  <si>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</si>
  <si>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</si>
  <si>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</si>
  <si>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</si>
  <si>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</si>
  <si>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</si>
  <si>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</si>
  <si>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</si>
  <si>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</si>
  <si>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</si>
  <si>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</si>
  <si>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</si>
  <si>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</si>
  <si>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</si>
  <si>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</si>
  <si>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</si>
  <si>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</si>
  <si>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</si>
  <si>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</si>
  <si>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</si>
  <si>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</si>
  <si>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</si>
  <si>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</si>
  <si>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</si>
  <si>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</si>
  <si>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</si>
  <si>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</si>
  <si>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</si>
  <si>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</si>
  <si>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</si>
  <si>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</si>
  <si>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Різдвяна (від бул. Шевченка до вул. Толстого)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</si>
  <si>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</si>
  <si>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</si>
  <si>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Відсоток виконання до плану 5 місяців</t>
  </si>
  <si>
    <t>Залишок призначень до плану 5 місяців</t>
  </si>
  <si>
    <t>Профінансовано станом на 17.05.17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</si>
</sst>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188" fontId="4" fillId="0" borderId="10" xfId="95" applyNumberFormat="1" applyFont="1" applyFill="1" applyBorder="1" applyAlignment="1">
      <alignment horizontal="center" vertical="center"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4" xfId="84" applyFont="1" applyBorder="1" applyAlignment="1">
      <alignment horizontal="center" wrapText="1"/>
      <protection/>
    </xf>
    <xf numFmtId="0" fontId="4" fillId="0" borderId="15" xfId="84" applyFont="1" applyBorder="1" applyAlignment="1">
      <alignment horizontal="center" wrapText="1"/>
      <protection/>
    </xf>
    <xf numFmtId="0" fontId="4" fillId="0" borderId="16" xfId="84" applyFont="1" applyBorder="1" applyAlignment="1">
      <alignment horizontal="center" wrapText="1"/>
      <protection/>
    </xf>
    <xf numFmtId="0" fontId="4" fillId="0" borderId="10" xfId="84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4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C17" sqref="AC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80" t="s">
        <v>8</v>
      </c>
      <c r="B2" s="80"/>
      <c r="C2" s="80"/>
      <c r="D2" s="80"/>
      <c r="E2" s="80"/>
      <c r="F2" s="80"/>
      <c r="G2" s="80"/>
    </row>
    <row r="3" spans="1:7" ht="20.25" customHeight="1">
      <c r="A3" s="81" t="s">
        <v>23</v>
      </c>
      <c r="B3" s="81"/>
      <c r="C3" s="81"/>
      <c r="D3" s="81"/>
      <c r="E3" s="81"/>
      <c r="F3" s="81"/>
      <c r="G3" s="81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82" t="s">
        <v>5</v>
      </c>
      <c r="B5" s="11"/>
      <c r="C5" s="82" t="s">
        <v>10</v>
      </c>
      <c r="D5" s="78" t="s">
        <v>11</v>
      </c>
      <c r="E5" s="78" t="s">
        <v>0</v>
      </c>
      <c r="F5" s="78" t="s">
        <v>1</v>
      </c>
      <c r="G5" s="13" t="s">
        <v>2</v>
      </c>
      <c r="H5" s="78" t="s">
        <v>191</v>
      </c>
      <c r="I5" s="84" t="s">
        <v>22</v>
      </c>
      <c r="J5" s="84" t="s">
        <v>189</v>
      </c>
    </row>
    <row r="6" spans="1:25" ht="35.25" customHeight="1">
      <c r="A6" s="83"/>
      <c r="B6" s="14" t="s">
        <v>6</v>
      </c>
      <c r="C6" s="83"/>
      <c r="D6" s="79"/>
      <c r="E6" s="79"/>
      <c r="F6" s="79"/>
      <c r="G6" s="12" t="s">
        <v>4</v>
      </c>
      <c r="H6" s="79"/>
      <c r="I6" s="85"/>
      <c r="J6" s="85"/>
      <c r="L6" s="90" t="s">
        <v>190</v>
      </c>
      <c r="M6" s="84" t="s">
        <v>28</v>
      </c>
      <c r="N6" s="92" t="s">
        <v>29</v>
      </c>
      <c r="O6" s="84" t="s">
        <v>30</v>
      </c>
      <c r="P6" s="84" t="s">
        <v>31</v>
      </c>
      <c r="Q6" s="84" t="s">
        <v>32</v>
      </c>
      <c r="R6" s="84" t="s">
        <v>33</v>
      </c>
      <c r="S6" s="84" t="s">
        <v>34</v>
      </c>
      <c r="T6" s="84" t="s">
        <v>35</v>
      </c>
      <c r="U6" s="84" t="s">
        <v>36</v>
      </c>
      <c r="V6" s="84" t="s">
        <v>37</v>
      </c>
      <c r="W6" s="84" t="s">
        <v>38</v>
      </c>
      <c r="X6" s="84" t="s">
        <v>39</v>
      </c>
      <c r="Y6" s="8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1"/>
      <c r="M7" s="85"/>
      <c r="N7" s="93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86" t="s">
        <v>24</v>
      </c>
      <c r="B8" s="87"/>
      <c r="C8" s="87"/>
      <c r="D8" s="87"/>
      <c r="E8" s="87"/>
      <c r="F8" s="87"/>
      <c r="G8" s="87"/>
      <c r="H8" s="87"/>
      <c r="I8" s="87"/>
      <c r="J8" s="88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32739187.439999998</v>
      </c>
      <c r="I9" s="40">
        <f aca="true" t="shared" si="0" ref="I9:I25">H9/D9*100</f>
        <v>21.839501363391726</v>
      </c>
      <c r="J9" s="46">
        <f>H9/(M9+N9+O9+N26+O26+P9+P26+Q9)*100</f>
        <v>66.4888378226055</v>
      </c>
      <c r="K9" s="37"/>
      <c r="L9" s="73">
        <f>H10-(M9+N9+O9+P9)</f>
        <v>-182499.11000000127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-392439</v>
      </c>
      <c r="Q9" s="47">
        <f aca="true" t="shared" si="1" ref="Q9:X9">Q10+Q18</f>
        <v>7450000</v>
      </c>
      <c r="R9" s="47">
        <f t="shared" si="1"/>
        <v>8656500</v>
      </c>
      <c r="S9" s="47">
        <f t="shared" si="1"/>
        <v>4354600</v>
      </c>
      <c r="T9" s="47">
        <f t="shared" si="1"/>
        <v>4974895.12</v>
      </c>
      <c r="U9" s="47">
        <f t="shared" si="1"/>
        <v>4495700</v>
      </c>
      <c r="V9" s="47">
        <f t="shared" si="1"/>
        <v>6329500</v>
      </c>
      <c r="W9" s="47">
        <f t="shared" si="1"/>
        <v>4112000</v>
      </c>
      <c r="X9" s="47">
        <f t="shared" si="1"/>
        <v>8608839</v>
      </c>
      <c r="Y9" s="22">
        <f>SUM(M9:X9)</f>
        <v>63738999.99999999</v>
      </c>
      <c r="Z9" s="39">
        <f>Y9-D9</f>
        <v>-86169127</v>
      </c>
    </row>
    <row r="10" spans="1:26" ht="18.75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14574466.769999998</v>
      </c>
      <c r="I10" s="41">
        <f t="shared" si="0"/>
        <v>22.8658541395378</v>
      </c>
      <c r="J10" s="48">
        <f>H10/(M9+N9+O9+P9)*100</f>
        <v>98.76330194510146</v>
      </c>
      <c r="L10" s="73">
        <f>(H11+H13+H14+H15+H16+H17)-(M10+N10+O10+P10+Q10)</f>
        <v>-6243118.890000001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</f>
        <v>6200000</v>
      </c>
      <c r="R10" s="24">
        <f>6870000+210000+120000-143500</f>
        <v>7056500</v>
      </c>
      <c r="S10" s="24">
        <f>2350000+153400</f>
        <v>2503400</v>
      </c>
      <c r="T10" s="24">
        <f>2350000+281395.12+300000+268808+143500</f>
        <v>3343703.12</v>
      </c>
      <c r="U10" s="24">
        <f>2350000+408828+545700</f>
        <v>3304528</v>
      </c>
      <c r="V10" s="24">
        <f>2350000+500000+533039+1073600+1005900</f>
        <v>5462539</v>
      </c>
      <c r="W10" s="24">
        <f>1900000+608828+700000+112000+300000</f>
        <v>3620828</v>
      </c>
      <c r="X10" s="24">
        <f>4750000+100000+85000+260285+2047400+307400+240000+424039</f>
        <v>8214124</v>
      </c>
      <c r="Y10" s="22">
        <f>SUM(M10:X10)</f>
        <v>49682800</v>
      </c>
      <c r="Z10" s="39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3">
        <f t="shared" si="0"/>
        <v>15.80317859871085</v>
      </c>
      <c r="J11" s="75">
        <f>(H11+H13+H14+H15+H16+H17)/(M10+N10+O10+P10+Q10)*100</f>
        <v>61.40786151756154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76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76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</f>
        <v>888404.5599999998</v>
      </c>
      <c r="I14" s="42">
        <f t="shared" si="0"/>
        <v>21.522804753017148</v>
      </c>
      <c r="J14" s="76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</f>
        <v>790688</v>
      </c>
      <c r="I15" s="42">
        <f t="shared" si="0"/>
        <v>24.889448501636867</v>
      </c>
      <c r="J15" s="76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76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2">
        <f t="shared" si="0"/>
        <v>23.161655285854852</v>
      </c>
      <c r="J17" s="77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4640407.779999999</v>
      </c>
      <c r="I18" s="42">
        <f t="shared" si="0"/>
        <v>33.01324525832017</v>
      </c>
      <c r="J18" s="75">
        <f>H18/(M18+N18+O18+P18+Q18)*100</f>
        <v>76.95805855860934</v>
      </c>
      <c r="L18" s="73">
        <f>H18-(M18+N18+O18+P18+Q18)</f>
        <v>-1389380.2200000007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</f>
        <v>1947840.8399999999</v>
      </c>
      <c r="I19" s="42">
        <f t="shared" si="0"/>
        <v>58.660434339516264</v>
      </c>
      <c r="J19" s="76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40963.21+1270402.8</f>
        <v>1311366.01</v>
      </c>
      <c r="I20" s="42">
        <f t="shared" si="0"/>
        <v>18.844064842277096</v>
      </c>
      <c r="J20" s="76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76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</f>
        <v>463394.46</v>
      </c>
      <c r="I22" s="42">
        <f t="shared" si="0"/>
        <v>41.655306755359796</v>
      </c>
      <c r="J22" s="76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76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76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98110+11845+14000+44592+188766.52+35049.91+36430+31810+164450.52+227765.52+17640+5257+42090</f>
        <v>917806.4700000001</v>
      </c>
      <c r="I25" s="42">
        <f t="shared" si="0"/>
        <v>59.07177704519623</v>
      </c>
      <c r="J25" s="77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18164720.669999998</v>
      </c>
      <c r="I26" s="22">
        <f>H26/D26*100</f>
        <v>21.08031182676366</v>
      </c>
      <c r="J26" s="41">
        <f>H26/(N26+O26+P26+Q26)*100</f>
        <v>59.46585280074723</v>
      </c>
      <c r="L26" s="73">
        <f>H26-(M26+N26+O26+P26+Q26)</f>
        <v>-12381752.330000002</v>
      </c>
      <c r="M26" s="55"/>
      <c r="N26" s="22">
        <f>SUM(N27:N137)</f>
        <v>894745</v>
      </c>
      <c r="O26" s="22">
        <f aca="true" t="shared" si="5" ref="O26:W26">SUM(O27:O137)</f>
        <v>20418579</v>
      </c>
      <c r="P26" s="22">
        <f t="shared" si="5"/>
        <v>5719836</v>
      </c>
      <c r="Q26" s="22">
        <f t="shared" si="5"/>
        <v>3513313</v>
      </c>
      <c r="R26" s="22">
        <f t="shared" si="5"/>
        <v>3830000</v>
      </c>
      <c r="S26" s="22">
        <f t="shared" si="5"/>
        <v>8322612</v>
      </c>
      <c r="T26" s="22">
        <f t="shared" si="5"/>
        <v>14107715</v>
      </c>
      <c r="U26" s="22">
        <f t="shared" si="5"/>
        <v>6061754</v>
      </c>
      <c r="V26" s="22">
        <f t="shared" si="5"/>
        <v>10744527</v>
      </c>
      <c r="W26" s="22">
        <f t="shared" si="5"/>
        <v>5817756</v>
      </c>
      <c r="X26" s="22">
        <f>SUM(X27:X137)</f>
        <v>6738290</v>
      </c>
      <c r="Y26" s="22">
        <f>SUM(Y27:Y137)</f>
        <v>86169127</v>
      </c>
      <c r="Z26" s="39">
        <f aca="true" t="shared" si="6" ref="Z26:Z89">Y26-D26</f>
        <v>0</v>
      </c>
    </row>
    <row r="27" spans="1:26" ht="26.25" customHeight="1">
      <c r="A27" s="1"/>
      <c r="B27" s="20"/>
      <c r="C27" s="68" t="s">
        <v>79</v>
      </c>
      <c r="D27" s="69">
        <f>G27</f>
        <v>767000</v>
      </c>
      <c r="E27" s="70"/>
      <c r="F27" s="69">
        <f aca="true" t="shared" si="7" ref="F27:F89">G27</f>
        <v>767000</v>
      </c>
      <c r="G27" s="67">
        <v>767000</v>
      </c>
      <c r="H27" s="22"/>
      <c r="I27" s="44">
        <f>H27/D27*100</f>
        <v>0</v>
      </c>
      <c r="J27" s="63" t="e">
        <f>H27/(N27+O27+P27+Q27)*100</f>
        <v>#DIV/0!</v>
      </c>
      <c r="L27" s="73">
        <f aca="true" t="shared" si="8" ref="L27:L90">H27-(M27+N27+O27+P27+Q27)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t="shared" si="6"/>
        <v>0</v>
      </c>
    </row>
    <row r="28" spans="1:26" ht="26.25" customHeight="1">
      <c r="A28" s="1"/>
      <c r="B28" s="20"/>
      <c r="C28" s="68" t="s">
        <v>80</v>
      </c>
      <c r="D28" s="69">
        <f aca="true" t="shared" si="9" ref="D28:D89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H28/(N28+O28+P28+Q28)*100</f>
        <v>#DIV/0!</v>
      </c>
      <c r="L28" s="73">
        <f t="shared" si="8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6"/>
        <v>0</v>
      </c>
    </row>
    <row r="29" spans="1:26" ht="26.25" customHeight="1">
      <c r="A29" s="1"/>
      <c r="B29" s="20"/>
      <c r="C29" s="68" t="s">
        <v>81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8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6"/>
        <v>0</v>
      </c>
    </row>
    <row r="30" spans="1:26" ht="26.25" customHeight="1">
      <c r="A30" s="1"/>
      <c r="B30" s="20"/>
      <c r="C30" s="68" t="s">
        <v>82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8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6"/>
        <v>0</v>
      </c>
    </row>
    <row r="31" spans="1:26" ht="26.25" customHeight="1">
      <c r="A31" s="1"/>
      <c r="B31" s="20"/>
      <c r="C31" s="68" t="s">
        <v>83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8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6"/>
        <v>0</v>
      </c>
    </row>
    <row r="32" spans="1:26" ht="26.25" customHeight="1">
      <c r="A32" s="1"/>
      <c r="B32" s="20"/>
      <c r="C32" s="68" t="s">
        <v>173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8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6"/>
        <v>0</v>
      </c>
    </row>
    <row r="33" spans="1:26" ht="26.25" customHeight="1">
      <c r="A33" s="1"/>
      <c r="B33" s="20"/>
      <c r="C33" s="68" t="s">
        <v>174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8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6"/>
        <v>0</v>
      </c>
    </row>
    <row r="34" spans="1:26" ht="26.25" customHeight="1">
      <c r="A34" s="1"/>
      <c r="B34" s="20"/>
      <c r="C34" s="68" t="s">
        <v>84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8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6"/>
        <v>0</v>
      </c>
    </row>
    <row r="35" spans="1:26" ht="26.25" customHeight="1">
      <c r="A35" s="1"/>
      <c r="B35" s="20"/>
      <c r="C35" s="68" t="s">
        <v>85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8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6"/>
        <v>0</v>
      </c>
    </row>
    <row r="36" spans="1:26" ht="26.25" customHeight="1">
      <c r="A36" s="1"/>
      <c r="B36" s="20"/>
      <c r="C36" s="68" t="s">
        <v>86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8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6"/>
        <v>0</v>
      </c>
    </row>
    <row r="37" spans="1:26" ht="26.25" customHeight="1">
      <c r="A37" s="1"/>
      <c r="B37" s="20"/>
      <c r="C37" s="68" t="s">
        <v>87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8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6"/>
        <v>0</v>
      </c>
    </row>
    <row r="38" spans="1:26" ht="37.5" customHeight="1">
      <c r="A38" s="1"/>
      <c r="B38" s="20"/>
      <c r="C38" s="68" t="s">
        <v>88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8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6"/>
        <v>0</v>
      </c>
    </row>
    <row r="39" spans="1:26" ht="26.25" customHeight="1">
      <c r="A39" s="1"/>
      <c r="B39" s="20"/>
      <c r="C39" s="68" t="s">
        <v>89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8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6"/>
        <v>0</v>
      </c>
    </row>
    <row r="40" spans="1:26" ht="26.25" customHeight="1">
      <c r="A40" s="1"/>
      <c r="B40" s="20"/>
      <c r="C40" s="68" t="s">
        <v>175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8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6"/>
        <v>0</v>
      </c>
    </row>
    <row r="41" spans="1:26" ht="26.25" customHeight="1">
      <c r="A41" s="1"/>
      <c r="B41" s="20"/>
      <c r="C41" s="68" t="s">
        <v>90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8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6"/>
        <v>0</v>
      </c>
    </row>
    <row r="42" spans="1:26" ht="26.25" customHeight="1">
      <c r="A42" s="1"/>
      <c r="B42" s="20"/>
      <c r="C42" s="68" t="s">
        <v>91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8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6"/>
        <v>0</v>
      </c>
    </row>
    <row r="43" spans="1:26" ht="26.25" customHeight="1">
      <c r="A43" s="1"/>
      <c r="B43" s="20"/>
      <c r="C43" s="68" t="s">
        <v>92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8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6"/>
        <v>0</v>
      </c>
    </row>
    <row r="44" spans="1:26" ht="26.25" customHeight="1">
      <c r="A44" s="1"/>
      <c r="B44" s="20"/>
      <c r="C44" s="68" t="s">
        <v>169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1"/>
        <v>#DIV/0!</v>
      </c>
      <c r="L44" s="73">
        <f t="shared" si="8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 t="shared" si="12"/>
        <v>117000</v>
      </c>
      <c r="Z44" s="39">
        <f t="shared" si="6"/>
        <v>0</v>
      </c>
    </row>
    <row r="45" spans="1:26" ht="26.25" customHeight="1">
      <c r="A45" s="1"/>
      <c r="B45" s="20"/>
      <c r="C45" s="68" t="s">
        <v>176</v>
      </c>
      <c r="D45" s="69">
        <f>G45</f>
        <v>40000</v>
      </c>
      <c r="E45" s="70"/>
      <c r="F45" s="69">
        <f>G45</f>
        <v>40000</v>
      </c>
      <c r="G45" s="67">
        <f>40000</f>
        <v>40000</v>
      </c>
      <c r="H45" s="22"/>
      <c r="I45" s="44"/>
      <c r="J45" s="63">
        <f t="shared" si="11"/>
        <v>0</v>
      </c>
      <c r="L45" s="73">
        <f t="shared" si="8"/>
        <v>-4000</v>
      </c>
      <c r="M45" s="71"/>
      <c r="N45" s="71"/>
      <c r="O45" s="71"/>
      <c r="P45" s="71">
        <f>4000</f>
        <v>4000</v>
      </c>
      <c r="Q45" s="71"/>
      <c r="R45" s="71"/>
      <c r="S45" s="71"/>
      <c r="T45" s="71"/>
      <c r="U45" s="71"/>
      <c r="V45" s="71">
        <f>28000</f>
        <v>28000</v>
      </c>
      <c r="W45" s="71"/>
      <c r="X45" s="71">
        <f>8000</f>
        <v>8000</v>
      </c>
      <c r="Y45" s="22">
        <f t="shared" si="12"/>
        <v>40000</v>
      </c>
      <c r="Z45" s="39">
        <f t="shared" si="6"/>
        <v>0</v>
      </c>
    </row>
    <row r="46" spans="1:26" ht="38.25" customHeight="1">
      <c r="A46" s="1"/>
      <c r="B46" s="20"/>
      <c r="C46" s="68" t="s">
        <v>177</v>
      </c>
      <c r="D46" s="69">
        <f>G46</f>
        <v>50000</v>
      </c>
      <c r="E46" s="70"/>
      <c r="F46" s="69">
        <f>G46</f>
        <v>50000</v>
      </c>
      <c r="G46" s="67">
        <f>50000</f>
        <v>50000</v>
      </c>
      <c r="H46" s="22"/>
      <c r="I46" s="44"/>
      <c r="J46" s="63" t="e">
        <f t="shared" si="11"/>
        <v>#DIV/0!</v>
      </c>
      <c r="L46" s="73">
        <f t="shared" si="8"/>
        <v>0</v>
      </c>
      <c r="M46" s="71"/>
      <c r="N46" s="71"/>
      <c r="O46" s="71"/>
      <c r="P46" s="71"/>
      <c r="Q46" s="71"/>
      <c r="R46" s="71"/>
      <c r="S46" s="71">
        <f>5000</f>
        <v>5000</v>
      </c>
      <c r="T46" s="71">
        <f>35000</f>
        <v>35000</v>
      </c>
      <c r="U46" s="71"/>
      <c r="V46" s="71">
        <f>10000</f>
        <v>10000</v>
      </c>
      <c r="W46" s="71"/>
      <c r="X46" s="71"/>
      <c r="Y46" s="22">
        <f t="shared" si="12"/>
        <v>50000</v>
      </c>
      <c r="Z46" s="39">
        <f t="shared" si="6"/>
        <v>0</v>
      </c>
    </row>
    <row r="47" spans="1:26" ht="26.25" customHeight="1">
      <c r="A47" s="1"/>
      <c r="B47" s="20"/>
      <c r="C47" s="68" t="s">
        <v>93</v>
      </c>
      <c r="D47" s="69">
        <f t="shared" si="9"/>
        <v>153400</v>
      </c>
      <c r="E47" s="70"/>
      <c r="F47" s="69">
        <f t="shared" si="7"/>
        <v>153400</v>
      </c>
      <c r="G47" s="67">
        <v>153400</v>
      </c>
      <c r="H47" s="22"/>
      <c r="I47" s="44">
        <f t="shared" si="10"/>
        <v>0</v>
      </c>
      <c r="J47" s="63" t="e">
        <f t="shared" si="11"/>
        <v>#DIV/0!</v>
      </c>
      <c r="L47" s="73">
        <f t="shared" si="8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6"/>
        <v>0</v>
      </c>
    </row>
    <row r="48" spans="1:26" ht="26.25" customHeight="1">
      <c r="A48" s="1"/>
      <c r="B48" s="20"/>
      <c r="C48" s="68" t="s">
        <v>94</v>
      </c>
      <c r="D48" s="69">
        <f t="shared" si="9"/>
        <v>153400</v>
      </c>
      <c r="E48" s="70"/>
      <c r="F48" s="69">
        <f t="shared" si="7"/>
        <v>153400</v>
      </c>
      <c r="G48" s="67">
        <v>153400</v>
      </c>
      <c r="H48" s="22"/>
      <c r="I48" s="44">
        <f t="shared" si="10"/>
        <v>0</v>
      </c>
      <c r="J48" s="63" t="e">
        <f t="shared" si="11"/>
        <v>#DIV/0!</v>
      </c>
      <c r="L48" s="73">
        <f t="shared" si="8"/>
        <v>0</v>
      </c>
      <c r="M48" s="71"/>
      <c r="N48" s="71"/>
      <c r="O48" s="71"/>
      <c r="P48" s="71"/>
      <c r="Q48" s="71"/>
      <c r="R48" s="71"/>
      <c r="S48" s="71">
        <v>15340</v>
      </c>
      <c r="T48" s="71">
        <v>107380</v>
      </c>
      <c r="U48" s="71"/>
      <c r="V48" s="71">
        <v>30680</v>
      </c>
      <c r="W48" s="71"/>
      <c r="X48" s="71"/>
      <c r="Y48" s="22">
        <f t="shared" si="12"/>
        <v>153400</v>
      </c>
      <c r="Z48" s="39">
        <f t="shared" si="6"/>
        <v>0</v>
      </c>
    </row>
    <row r="49" spans="1:26" ht="26.25" customHeight="1">
      <c r="A49" s="1"/>
      <c r="B49" s="20"/>
      <c r="C49" s="68" t="s">
        <v>95</v>
      </c>
      <c r="D49" s="69">
        <f t="shared" si="9"/>
        <v>153400</v>
      </c>
      <c r="E49" s="70"/>
      <c r="F49" s="69">
        <f t="shared" si="7"/>
        <v>153400</v>
      </c>
      <c r="G49" s="67">
        <v>153400</v>
      </c>
      <c r="H49" s="22"/>
      <c r="I49" s="44">
        <f t="shared" si="10"/>
        <v>0</v>
      </c>
      <c r="J49" s="63" t="e">
        <f t="shared" si="11"/>
        <v>#DIV/0!</v>
      </c>
      <c r="L49" s="73">
        <f t="shared" si="8"/>
        <v>0</v>
      </c>
      <c r="M49" s="71"/>
      <c r="N49" s="71"/>
      <c r="O49" s="71"/>
      <c r="P49" s="71"/>
      <c r="Q49" s="71"/>
      <c r="R49" s="71"/>
      <c r="S49" s="71">
        <v>15340</v>
      </c>
      <c r="T49" s="71">
        <v>107380</v>
      </c>
      <c r="U49" s="71"/>
      <c r="V49" s="71">
        <v>30680</v>
      </c>
      <c r="W49" s="71"/>
      <c r="X49" s="71"/>
      <c r="Y49" s="22">
        <f t="shared" si="12"/>
        <v>153400</v>
      </c>
      <c r="Z49" s="39">
        <f t="shared" si="6"/>
        <v>0</v>
      </c>
    </row>
    <row r="50" spans="1:26" ht="43.5" customHeight="1">
      <c r="A50" s="1"/>
      <c r="B50" s="20"/>
      <c r="C50" s="68" t="s">
        <v>96</v>
      </c>
      <c r="D50" s="69">
        <f t="shared" si="9"/>
        <v>560000</v>
      </c>
      <c r="E50" s="70"/>
      <c r="F50" s="69">
        <f t="shared" si="7"/>
        <v>560000</v>
      </c>
      <c r="G50" s="67">
        <v>560000</v>
      </c>
      <c r="H50" s="22"/>
      <c r="I50" s="44">
        <f t="shared" si="10"/>
        <v>0</v>
      </c>
      <c r="J50" s="63" t="e">
        <f t="shared" si="11"/>
        <v>#DIV/0!</v>
      </c>
      <c r="L50" s="73">
        <f t="shared" si="8"/>
        <v>0</v>
      </c>
      <c r="M50" s="71"/>
      <c r="N50" s="71"/>
      <c r="O50" s="71"/>
      <c r="P50" s="71"/>
      <c r="Q50" s="71"/>
      <c r="R50" s="71"/>
      <c r="S50" s="71">
        <v>56000</v>
      </c>
      <c r="T50" s="71">
        <v>392000</v>
      </c>
      <c r="U50" s="71"/>
      <c r="V50" s="71">
        <v>112000</v>
      </c>
      <c r="W50" s="71"/>
      <c r="X50" s="71"/>
      <c r="Y50" s="22">
        <f t="shared" si="12"/>
        <v>560000</v>
      </c>
      <c r="Z50" s="39">
        <f t="shared" si="6"/>
        <v>0</v>
      </c>
    </row>
    <row r="51" spans="1:26" ht="26.25" customHeight="1">
      <c r="A51" s="1"/>
      <c r="B51" s="20"/>
      <c r="C51" s="68" t="s">
        <v>97</v>
      </c>
      <c r="D51" s="69">
        <f t="shared" si="9"/>
        <v>1534000</v>
      </c>
      <c r="E51" s="70"/>
      <c r="F51" s="69">
        <f t="shared" si="7"/>
        <v>1534000</v>
      </c>
      <c r="G51" s="67">
        <v>1534000</v>
      </c>
      <c r="H51" s="22"/>
      <c r="I51" s="44">
        <f t="shared" si="10"/>
        <v>0</v>
      </c>
      <c r="J51" s="63" t="e">
        <f t="shared" si="11"/>
        <v>#DIV/0!</v>
      </c>
      <c r="L51" s="73">
        <f t="shared" si="8"/>
        <v>0</v>
      </c>
      <c r="M51" s="71"/>
      <c r="N51" s="71"/>
      <c r="O51" s="71"/>
      <c r="P51" s="71"/>
      <c r="Q51" s="71"/>
      <c r="R51" s="71"/>
      <c r="S51" s="71">
        <v>153400</v>
      </c>
      <c r="T51" s="71">
        <v>1073800</v>
      </c>
      <c r="U51" s="71"/>
      <c r="V51" s="71">
        <v>306800</v>
      </c>
      <c r="W51" s="71"/>
      <c r="X51" s="71"/>
      <c r="Y51" s="22">
        <f t="shared" si="12"/>
        <v>1534000</v>
      </c>
      <c r="Z51" s="39">
        <f t="shared" si="6"/>
        <v>0</v>
      </c>
    </row>
    <row r="52" spans="1:26" ht="26.25" customHeight="1">
      <c r="A52" s="1"/>
      <c r="B52" s="20"/>
      <c r="C52" s="68" t="s">
        <v>98</v>
      </c>
      <c r="D52" s="69">
        <f t="shared" si="9"/>
        <v>100000</v>
      </c>
      <c r="E52" s="70"/>
      <c r="F52" s="69">
        <f t="shared" si="7"/>
        <v>100000</v>
      </c>
      <c r="G52" s="67">
        <v>100000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8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6"/>
        <v>0</v>
      </c>
    </row>
    <row r="53" spans="1:26" ht="26.25" customHeight="1">
      <c r="A53" s="1"/>
      <c r="B53" s="20"/>
      <c r="C53" s="68" t="s">
        <v>99</v>
      </c>
      <c r="D53" s="69">
        <f t="shared" si="9"/>
        <v>225700</v>
      </c>
      <c r="E53" s="70"/>
      <c r="F53" s="69">
        <f t="shared" si="7"/>
        <v>225700</v>
      </c>
      <c r="G53" s="67">
        <v>225700</v>
      </c>
      <c r="H53" s="22"/>
      <c r="I53" s="44">
        <f t="shared" si="10"/>
        <v>0</v>
      </c>
      <c r="J53" s="63" t="e">
        <f t="shared" si="11"/>
        <v>#DIV/0!</v>
      </c>
      <c r="L53" s="73">
        <f t="shared" si="8"/>
        <v>0</v>
      </c>
      <c r="M53" s="71"/>
      <c r="N53" s="71"/>
      <c r="O53" s="71"/>
      <c r="P53" s="71"/>
      <c r="Q53" s="71"/>
      <c r="R53" s="71"/>
      <c r="S53" s="71">
        <v>22570</v>
      </c>
      <c r="T53" s="71">
        <v>157990</v>
      </c>
      <c r="U53" s="71"/>
      <c r="V53" s="71">
        <v>45140</v>
      </c>
      <c r="W53" s="71"/>
      <c r="X53" s="71"/>
      <c r="Y53" s="22">
        <f t="shared" si="12"/>
        <v>225700</v>
      </c>
      <c r="Z53" s="39">
        <f t="shared" si="6"/>
        <v>0</v>
      </c>
    </row>
    <row r="54" spans="1:26" ht="26.25" customHeight="1">
      <c r="A54" s="1"/>
      <c r="B54" s="20"/>
      <c r="C54" s="68" t="s">
        <v>100</v>
      </c>
      <c r="D54" s="69">
        <f t="shared" si="9"/>
        <v>50000</v>
      </c>
      <c r="E54" s="70"/>
      <c r="F54" s="69">
        <f t="shared" si="7"/>
        <v>50000</v>
      </c>
      <c r="G54" s="67">
        <f>100000-50000</f>
        <v>50000</v>
      </c>
      <c r="H54" s="22"/>
      <c r="I54" s="44">
        <f t="shared" si="10"/>
        <v>0</v>
      </c>
      <c r="J54" s="63" t="e">
        <f t="shared" si="11"/>
        <v>#DIV/0!</v>
      </c>
      <c r="L54" s="73">
        <f t="shared" si="8"/>
        <v>0</v>
      </c>
      <c r="M54" s="71"/>
      <c r="N54" s="71"/>
      <c r="O54" s="71"/>
      <c r="P54" s="71"/>
      <c r="Q54" s="71"/>
      <c r="R54" s="71"/>
      <c r="S54" s="71">
        <f>5000</f>
        <v>5000</v>
      </c>
      <c r="T54" s="71">
        <f>35000</f>
        <v>35000</v>
      </c>
      <c r="U54" s="71"/>
      <c r="V54" s="71">
        <f>10000</f>
        <v>10000</v>
      </c>
      <c r="W54" s="71"/>
      <c r="X54" s="71"/>
      <c r="Y54" s="22">
        <f t="shared" si="12"/>
        <v>50000</v>
      </c>
      <c r="Z54" s="39">
        <f t="shared" si="6"/>
        <v>0</v>
      </c>
    </row>
    <row r="55" spans="1:26" ht="26.25" customHeight="1">
      <c r="A55" s="1"/>
      <c r="B55" s="20"/>
      <c r="C55" s="68" t="s">
        <v>101</v>
      </c>
      <c r="D55" s="69">
        <f t="shared" si="9"/>
        <v>200000</v>
      </c>
      <c r="E55" s="70"/>
      <c r="F55" s="69">
        <f t="shared" si="7"/>
        <v>200000</v>
      </c>
      <c r="G55" s="67">
        <v>200000</v>
      </c>
      <c r="H55" s="22"/>
      <c r="I55" s="44">
        <f t="shared" si="10"/>
        <v>0</v>
      </c>
      <c r="J55" s="63" t="e">
        <f t="shared" si="11"/>
        <v>#DIV/0!</v>
      </c>
      <c r="L55" s="73">
        <f t="shared" si="8"/>
        <v>0</v>
      </c>
      <c r="M55" s="71"/>
      <c r="N55" s="71"/>
      <c r="O55" s="71"/>
      <c r="P55" s="71"/>
      <c r="Q55" s="71"/>
      <c r="R55" s="71"/>
      <c r="S55" s="71">
        <v>20000</v>
      </c>
      <c r="T55" s="71">
        <v>140000</v>
      </c>
      <c r="U55" s="71"/>
      <c r="V55" s="71">
        <v>40000</v>
      </c>
      <c r="W55" s="71"/>
      <c r="X55" s="71"/>
      <c r="Y55" s="22">
        <f t="shared" si="12"/>
        <v>200000</v>
      </c>
      <c r="Z55" s="39">
        <f t="shared" si="6"/>
        <v>0</v>
      </c>
    </row>
    <row r="56" spans="1:26" ht="26.25" customHeight="1">
      <c r="A56" s="1"/>
      <c r="B56" s="20"/>
      <c r="C56" s="68" t="s">
        <v>102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8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6"/>
        <v>0</v>
      </c>
    </row>
    <row r="57" spans="1:26" ht="41.25" customHeight="1">
      <c r="A57" s="1"/>
      <c r="B57" s="20"/>
      <c r="C57" s="68" t="s">
        <v>178</v>
      </c>
      <c r="D57" s="69">
        <f t="shared" si="9"/>
        <v>350000</v>
      </c>
      <c r="E57" s="70"/>
      <c r="F57" s="69">
        <f t="shared" si="7"/>
        <v>350000</v>
      </c>
      <c r="G57" s="67">
        <v>350000</v>
      </c>
      <c r="H57" s="22"/>
      <c r="I57" s="44">
        <f t="shared" si="10"/>
        <v>0</v>
      </c>
      <c r="J57" s="63" t="e">
        <f t="shared" si="11"/>
        <v>#DIV/0!</v>
      </c>
      <c r="L57" s="73">
        <f t="shared" si="8"/>
        <v>0</v>
      </c>
      <c r="M57" s="71"/>
      <c r="N57" s="71"/>
      <c r="O57" s="71"/>
      <c r="P57" s="71"/>
      <c r="Q57" s="71"/>
      <c r="R57" s="71"/>
      <c r="S57" s="71">
        <v>35000</v>
      </c>
      <c r="T57" s="71">
        <v>245000</v>
      </c>
      <c r="U57" s="71"/>
      <c r="V57" s="71">
        <v>70000</v>
      </c>
      <c r="W57" s="71"/>
      <c r="X57" s="71"/>
      <c r="Y57" s="22">
        <f t="shared" si="12"/>
        <v>350000</v>
      </c>
      <c r="Z57" s="39">
        <f t="shared" si="6"/>
        <v>0</v>
      </c>
    </row>
    <row r="58" spans="1:26" ht="26.25" customHeight="1">
      <c r="A58" s="1"/>
      <c r="B58" s="20"/>
      <c r="C58" s="68" t="s">
        <v>103</v>
      </c>
      <c r="D58" s="69">
        <f t="shared" si="9"/>
        <v>100000</v>
      </c>
      <c r="E58" s="70"/>
      <c r="F58" s="69">
        <f t="shared" si="7"/>
        <v>100000</v>
      </c>
      <c r="G58" s="67">
        <v>100000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8"/>
        <v>0</v>
      </c>
      <c r="M58" s="71"/>
      <c r="N58" s="71"/>
      <c r="O58" s="71"/>
      <c r="P58" s="71"/>
      <c r="Q58" s="71"/>
      <c r="R58" s="71"/>
      <c r="S58" s="71">
        <v>10000</v>
      </c>
      <c r="T58" s="71">
        <v>70000</v>
      </c>
      <c r="U58" s="71"/>
      <c r="V58" s="71">
        <v>20000</v>
      </c>
      <c r="W58" s="71"/>
      <c r="X58" s="71"/>
      <c r="Y58" s="22">
        <f t="shared" si="12"/>
        <v>100000</v>
      </c>
      <c r="Z58" s="39">
        <f t="shared" si="6"/>
        <v>0</v>
      </c>
    </row>
    <row r="59" spans="1:26" ht="26.25" customHeight="1">
      <c r="A59" s="1"/>
      <c r="B59" s="20"/>
      <c r="C59" s="68" t="s">
        <v>104</v>
      </c>
      <c r="D59" s="69">
        <f t="shared" si="9"/>
        <v>100000</v>
      </c>
      <c r="E59" s="70"/>
      <c r="F59" s="69">
        <f t="shared" si="7"/>
        <v>100000</v>
      </c>
      <c r="G59" s="67">
        <f>100000+50000-50000</f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8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6"/>
        <v>0</v>
      </c>
    </row>
    <row r="60" spans="1:26" ht="26.25" customHeight="1">
      <c r="A60" s="1"/>
      <c r="B60" s="20"/>
      <c r="C60" s="68" t="s">
        <v>179</v>
      </c>
      <c r="D60" s="69">
        <f t="shared" si="9"/>
        <v>50000</v>
      </c>
      <c r="E60" s="70"/>
      <c r="F60" s="69">
        <f t="shared" si="7"/>
        <v>50000</v>
      </c>
      <c r="G60" s="67">
        <f>50000</f>
        <v>50000</v>
      </c>
      <c r="H60" s="22"/>
      <c r="I60" s="44">
        <f t="shared" si="10"/>
        <v>0</v>
      </c>
      <c r="J60" s="63">
        <f t="shared" si="11"/>
        <v>0</v>
      </c>
      <c r="L60" s="73">
        <f t="shared" si="8"/>
        <v>-5000</v>
      </c>
      <c r="M60" s="71"/>
      <c r="N60" s="71"/>
      <c r="O60" s="71"/>
      <c r="P60" s="71">
        <f>5000</f>
        <v>5000</v>
      </c>
      <c r="Q60" s="71"/>
      <c r="R60" s="71"/>
      <c r="S60" s="71"/>
      <c r="T60" s="71"/>
      <c r="U60" s="71">
        <f>35000</f>
        <v>35000</v>
      </c>
      <c r="V60" s="71"/>
      <c r="W60" s="71">
        <f>10000</f>
        <v>10000</v>
      </c>
      <c r="X60" s="71"/>
      <c r="Y60" s="22">
        <f t="shared" si="12"/>
        <v>50000</v>
      </c>
      <c r="Z60" s="39">
        <f t="shared" si="6"/>
        <v>0</v>
      </c>
    </row>
    <row r="61" spans="1:26" ht="26.25" customHeight="1">
      <c r="A61" s="1"/>
      <c r="B61" s="20"/>
      <c r="C61" s="68" t="s">
        <v>105</v>
      </c>
      <c r="D61" s="69">
        <f t="shared" si="9"/>
        <v>200000</v>
      </c>
      <c r="E61" s="70"/>
      <c r="F61" s="69">
        <f t="shared" si="7"/>
        <v>200000</v>
      </c>
      <c r="G61" s="67">
        <v>200000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8"/>
        <v>0</v>
      </c>
      <c r="M61" s="71"/>
      <c r="N61" s="71"/>
      <c r="O61" s="71"/>
      <c r="P61" s="71"/>
      <c r="Q61" s="71"/>
      <c r="R61" s="71"/>
      <c r="S61" s="71">
        <v>20000</v>
      </c>
      <c r="T61" s="71">
        <v>140000</v>
      </c>
      <c r="U61" s="71"/>
      <c r="V61" s="71">
        <v>40000</v>
      </c>
      <c r="W61" s="71"/>
      <c r="X61" s="71"/>
      <c r="Y61" s="22">
        <f t="shared" si="12"/>
        <v>200000</v>
      </c>
      <c r="Z61" s="39">
        <f t="shared" si="6"/>
        <v>0</v>
      </c>
    </row>
    <row r="62" spans="1:26" ht="26.25" customHeight="1">
      <c r="A62" s="1"/>
      <c r="B62" s="20"/>
      <c r="C62" s="68" t="s">
        <v>106</v>
      </c>
      <c r="D62" s="69">
        <f t="shared" si="9"/>
        <v>100000</v>
      </c>
      <c r="E62" s="70"/>
      <c r="F62" s="69">
        <f t="shared" si="7"/>
        <v>100000</v>
      </c>
      <c r="G62" s="67">
        <v>100000</v>
      </c>
      <c r="H62" s="22"/>
      <c r="I62" s="44">
        <f t="shared" si="10"/>
        <v>0</v>
      </c>
      <c r="J62" s="63" t="e">
        <f t="shared" si="11"/>
        <v>#DIV/0!</v>
      </c>
      <c r="L62" s="73">
        <f t="shared" si="8"/>
        <v>0</v>
      </c>
      <c r="M62" s="71"/>
      <c r="N62" s="71"/>
      <c r="O62" s="71"/>
      <c r="P62" s="71"/>
      <c r="Q62" s="71"/>
      <c r="R62" s="71"/>
      <c r="S62" s="71">
        <v>10000</v>
      </c>
      <c r="T62" s="71">
        <v>70000</v>
      </c>
      <c r="U62" s="71"/>
      <c r="V62" s="71">
        <v>20000</v>
      </c>
      <c r="W62" s="71"/>
      <c r="X62" s="71"/>
      <c r="Y62" s="22">
        <f t="shared" si="12"/>
        <v>100000</v>
      </c>
      <c r="Z62" s="39">
        <f t="shared" si="6"/>
        <v>0</v>
      </c>
    </row>
    <row r="63" spans="1:26" ht="26.25" customHeight="1">
      <c r="A63" s="1"/>
      <c r="B63" s="20"/>
      <c r="C63" s="68" t="s">
        <v>107</v>
      </c>
      <c r="D63" s="69">
        <f t="shared" si="9"/>
        <v>100000</v>
      </c>
      <c r="E63" s="70"/>
      <c r="F63" s="69">
        <f t="shared" si="7"/>
        <v>100000</v>
      </c>
      <c r="G63" s="67">
        <v>100000</v>
      </c>
      <c r="H63" s="22"/>
      <c r="I63" s="44">
        <f t="shared" si="10"/>
        <v>0</v>
      </c>
      <c r="J63" s="63" t="e">
        <f t="shared" si="11"/>
        <v>#DIV/0!</v>
      </c>
      <c r="L63" s="73">
        <f t="shared" si="8"/>
        <v>0</v>
      </c>
      <c r="M63" s="71"/>
      <c r="N63" s="71"/>
      <c r="O63" s="71"/>
      <c r="P63" s="71"/>
      <c r="Q63" s="71"/>
      <c r="R63" s="71"/>
      <c r="S63" s="71">
        <v>10000</v>
      </c>
      <c r="T63" s="71">
        <v>70000</v>
      </c>
      <c r="U63" s="71"/>
      <c r="V63" s="71">
        <v>20000</v>
      </c>
      <c r="W63" s="71"/>
      <c r="X63" s="71"/>
      <c r="Y63" s="22">
        <f t="shared" si="12"/>
        <v>100000</v>
      </c>
      <c r="Z63" s="39">
        <f t="shared" si="6"/>
        <v>0</v>
      </c>
    </row>
    <row r="64" spans="1:26" ht="26.25" customHeight="1">
      <c r="A64" s="1"/>
      <c r="B64" s="20"/>
      <c r="C64" s="68" t="s">
        <v>180</v>
      </c>
      <c r="D64" s="69">
        <f t="shared" si="9"/>
        <v>66000</v>
      </c>
      <c r="E64" s="70"/>
      <c r="F64" s="69">
        <f>G64</f>
        <v>66000</v>
      </c>
      <c r="G64" s="67">
        <f>66000</f>
        <v>66000</v>
      </c>
      <c r="H64" s="22"/>
      <c r="I64" s="44">
        <f t="shared" si="10"/>
        <v>0</v>
      </c>
      <c r="J64" s="63">
        <f t="shared" si="11"/>
        <v>0</v>
      </c>
      <c r="L64" s="73">
        <f t="shared" si="8"/>
        <v>-6600</v>
      </c>
      <c r="M64" s="71"/>
      <c r="N64" s="71"/>
      <c r="O64" s="71"/>
      <c r="P64" s="71">
        <f>6600</f>
        <v>6600</v>
      </c>
      <c r="Q64" s="71"/>
      <c r="R64" s="71"/>
      <c r="S64" s="71"/>
      <c r="T64" s="71"/>
      <c r="U64" s="71">
        <f>46200</f>
        <v>46200</v>
      </c>
      <c r="V64" s="71"/>
      <c r="W64" s="71">
        <f>13200</f>
        <v>13200</v>
      </c>
      <c r="X64" s="71"/>
      <c r="Y64" s="22">
        <f t="shared" si="12"/>
        <v>66000</v>
      </c>
      <c r="Z64" s="39">
        <f t="shared" si="6"/>
        <v>0</v>
      </c>
    </row>
    <row r="65" spans="1:26" ht="43.5" customHeight="1">
      <c r="A65" s="1"/>
      <c r="B65" s="20"/>
      <c r="C65" s="68" t="s">
        <v>108</v>
      </c>
      <c r="D65" s="69">
        <f t="shared" si="9"/>
        <v>100000</v>
      </c>
      <c r="E65" s="70"/>
      <c r="F65" s="69">
        <f t="shared" si="7"/>
        <v>100000</v>
      </c>
      <c r="G65" s="67">
        <v>100000</v>
      </c>
      <c r="H65" s="22"/>
      <c r="I65" s="44">
        <f t="shared" si="10"/>
        <v>0</v>
      </c>
      <c r="J65" s="63" t="e">
        <f t="shared" si="11"/>
        <v>#DIV/0!</v>
      </c>
      <c r="L65" s="73">
        <f t="shared" si="8"/>
        <v>0</v>
      </c>
      <c r="M65" s="71"/>
      <c r="N65" s="71"/>
      <c r="O65" s="71"/>
      <c r="P65" s="71"/>
      <c r="Q65" s="71"/>
      <c r="R65" s="71"/>
      <c r="S65" s="71">
        <v>10000</v>
      </c>
      <c r="T65" s="71">
        <v>70000</v>
      </c>
      <c r="U65" s="71"/>
      <c r="V65" s="71">
        <v>20000</v>
      </c>
      <c r="W65" s="71"/>
      <c r="X65" s="71"/>
      <c r="Y65" s="22">
        <f t="shared" si="12"/>
        <v>100000</v>
      </c>
      <c r="Z65" s="39">
        <f t="shared" si="6"/>
        <v>0</v>
      </c>
    </row>
    <row r="66" spans="1:26" ht="137.25" customHeight="1">
      <c r="A66" s="1"/>
      <c r="B66" s="20"/>
      <c r="C66" s="68" t="s">
        <v>109</v>
      </c>
      <c r="D66" s="69">
        <f t="shared" si="9"/>
        <v>210000</v>
      </c>
      <c r="E66" s="70"/>
      <c r="F66" s="69">
        <f t="shared" si="7"/>
        <v>210000</v>
      </c>
      <c r="G66" s="67">
        <v>210000</v>
      </c>
      <c r="H66" s="22"/>
      <c r="I66" s="44">
        <f t="shared" si="10"/>
        <v>0</v>
      </c>
      <c r="J66" s="63" t="e">
        <f t="shared" si="11"/>
        <v>#DIV/0!</v>
      </c>
      <c r="L66" s="73">
        <f t="shared" si="8"/>
        <v>0</v>
      </c>
      <c r="M66" s="71"/>
      <c r="N66" s="71"/>
      <c r="O66" s="71"/>
      <c r="P66" s="71"/>
      <c r="Q66" s="71"/>
      <c r="R66" s="71"/>
      <c r="S66" s="71">
        <v>21000</v>
      </c>
      <c r="T66" s="71">
        <v>147000</v>
      </c>
      <c r="U66" s="71"/>
      <c r="V66" s="71">
        <v>42000</v>
      </c>
      <c r="W66" s="71"/>
      <c r="X66" s="71"/>
      <c r="Y66" s="22">
        <f t="shared" si="12"/>
        <v>210000</v>
      </c>
      <c r="Z66" s="39">
        <f t="shared" si="6"/>
        <v>0</v>
      </c>
    </row>
    <row r="67" spans="1:26" ht="43.5" customHeight="1">
      <c r="A67" s="1"/>
      <c r="B67" s="20"/>
      <c r="C67" s="68" t="s">
        <v>110</v>
      </c>
      <c r="D67" s="69">
        <f t="shared" si="9"/>
        <v>460000</v>
      </c>
      <c r="E67" s="70"/>
      <c r="F67" s="69">
        <f t="shared" si="7"/>
        <v>460000</v>
      </c>
      <c r="G67" s="67">
        <v>460000</v>
      </c>
      <c r="H67" s="22"/>
      <c r="I67" s="44">
        <f t="shared" si="10"/>
        <v>0</v>
      </c>
      <c r="J67" s="63" t="e">
        <f t="shared" si="11"/>
        <v>#DIV/0!</v>
      </c>
      <c r="L67" s="73">
        <f t="shared" si="8"/>
        <v>0</v>
      </c>
      <c r="M67" s="71"/>
      <c r="N67" s="71"/>
      <c r="O67" s="71"/>
      <c r="P67" s="71"/>
      <c r="Q67" s="71"/>
      <c r="R67" s="71"/>
      <c r="S67" s="71">
        <v>46000</v>
      </c>
      <c r="T67" s="71">
        <v>322000</v>
      </c>
      <c r="U67" s="71"/>
      <c r="V67" s="71">
        <v>92000</v>
      </c>
      <c r="W67" s="71"/>
      <c r="X67" s="71"/>
      <c r="Y67" s="22">
        <f t="shared" si="12"/>
        <v>460000</v>
      </c>
      <c r="Z67" s="39">
        <f t="shared" si="6"/>
        <v>0</v>
      </c>
    </row>
    <row r="68" spans="1:26" ht="26.25" customHeight="1">
      <c r="A68" s="1"/>
      <c r="B68" s="20"/>
      <c r="C68" s="68" t="s">
        <v>181</v>
      </c>
      <c r="D68" s="69">
        <f t="shared" si="9"/>
        <v>232000</v>
      </c>
      <c r="E68" s="70"/>
      <c r="F68" s="69">
        <f t="shared" si="7"/>
        <v>232000</v>
      </c>
      <c r="G68" s="67">
        <v>232000</v>
      </c>
      <c r="H68" s="22"/>
      <c r="I68" s="44"/>
      <c r="J68" s="63" t="e">
        <f t="shared" si="11"/>
        <v>#DIV/0!</v>
      </c>
      <c r="L68" s="73">
        <f t="shared" si="8"/>
        <v>0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>
        <f>232000</f>
        <v>232000</v>
      </c>
      <c r="Y68" s="22">
        <f t="shared" si="12"/>
        <v>232000</v>
      </c>
      <c r="Z68" s="39">
        <f t="shared" si="6"/>
        <v>0</v>
      </c>
    </row>
    <row r="69" spans="1:26" ht="26.25" customHeight="1">
      <c r="A69" s="1"/>
      <c r="B69" s="20"/>
      <c r="C69" s="68" t="s">
        <v>111</v>
      </c>
      <c r="D69" s="69">
        <f t="shared" si="9"/>
        <v>220000</v>
      </c>
      <c r="E69" s="70"/>
      <c r="F69" s="69">
        <f t="shared" si="7"/>
        <v>220000</v>
      </c>
      <c r="G69" s="67">
        <v>220000</v>
      </c>
      <c r="H69" s="22"/>
      <c r="I69" s="44">
        <f t="shared" si="10"/>
        <v>0</v>
      </c>
      <c r="J69" s="63">
        <f t="shared" si="11"/>
        <v>0</v>
      </c>
      <c r="L69" s="73">
        <f t="shared" si="8"/>
        <v>-22000</v>
      </c>
      <c r="M69" s="71"/>
      <c r="N69" s="71"/>
      <c r="O69" s="71">
        <v>22000</v>
      </c>
      <c r="P69" s="71"/>
      <c r="Q69" s="71"/>
      <c r="R69" s="71"/>
      <c r="S69" s="71"/>
      <c r="T69" s="71"/>
      <c r="U69" s="71"/>
      <c r="V69" s="71">
        <v>99000</v>
      </c>
      <c r="W69" s="71"/>
      <c r="X69" s="71">
        <v>99000</v>
      </c>
      <c r="Y69" s="22">
        <f t="shared" si="12"/>
        <v>220000</v>
      </c>
      <c r="Z69" s="39">
        <f t="shared" si="6"/>
        <v>0</v>
      </c>
    </row>
    <row r="70" spans="1:26" ht="26.25" customHeight="1">
      <c r="A70" s="1"/>
      <c r="B70" s="20"/>
      <c r="C70" s="68" t="s">
        <v>112</v>
      </c>
      <c r="D70" s="69">
        <f t="shared" si="9"/>
        <v>127000</v>
      </c>
      <c r="E70" s="70"/>
      <c r="F70" s="69">
        <f t="shared" si="7"/>
        <v>127000</v>
      </c>
      <c r="G70" s="67">
        <v>127000</v>
      </c>
      <c r="H70" s="22"/>
      <c r="I70" s="44">
        <f t="shared" si="10"/>
        <v>0</v>
      </c>
      <c r="J70" s="63">
        <f t="shared" si="11"/>
        <v>0</v>
      </c>
      <c r="L70" s="73">
        <f t="shared" si="8"/>
        <v>-12700</v>
      </c>
      <c r="M70" s="71"/>
      <c r="N70" s="71"/>
      <c r="O70" s="71">
        <v>12700</v>
      </c>
      <c r="P70" s="71"/>
      <c r="Q70" s="71"/>
      <c r="R70" s="71"/>
      <c r="S70" s="71"/>
      <c r="T70" s="71"/>
      <c r="U70" s="71"/>
      <c r="V70" s="71">
        <v>57150</v>
      </c>
      <c r="W70" s="71"/>
      <c r="X70" s="71">
        <v>57150</v>
      </c>
      <c r="Y70" s="22">
        <f t="shared" si="12"/>
        <v>127000</v>
      </c>
      <c r="Z70" s="39">
        <f t="shared" si="6"/>
        <v>0</v>
      </c>
    </row>
    <row r="71" spans="1:26" ht="43.5" customHeight="1">
      <c r="A71" s="1"/>
      <c r="B71" s="20"/>
      <c r="C71" s="68" t="s">
        <v>113</v>
      </c>
      <c r="D71" s="69">
        <f t="shared" si="9"/>
        <v>240000</v>
      </c>
      <c r="E71" s="70"/>
      <c r="F71" s="69">
        <f t="shared" si="7"/>
        <v>240000</v>
      </c>
      <c r="G71" s="67">
        <v>240000</v>
      </c>
      <c r="H71" s="22"/>
      <c r="I71" s="44">
        <f t="shared" si="10"/>
        <v>0</v>
      </c>
      <c r="J71" s="63">
        <f t="shared" si="11"/>
        <v>0</v>
      </c>
      <c r="L71" s="73">
        <f t="shared" si="8"/>
        <v>-24000</v>
      </c>
      <c r="M71" s="71"/>
      <c r="N71" s="71"/>
      <c r="O71" s="71">
        <v>24000</v>
      </c>
      <c r="P71" s="71"/>
      <c r="Q71" s="71"/>
      <c r="R71" s="71"/>
      <c r="S71" s="71"/>
      <c r="T71" s="71"/>
      <c r="U71" s="71"/>
      <c r="V71" s="71">
        <v>108000</v>
      </c>
      <c r="W71" s="71"/>
      <c r="X71" s="71">
        <v>108000</v>
      </c>
      <c r="Y71" s="22">
        <f t="shared" si="12"/>
        <v>240000</v>
      </c>
      <c r="Z71" s="39">
        <f t="shared" si="6"/>
        <v>0</v>
      </c>
    </row>
    <row r="72" spans="1:26" ht="26.25" customHeight="1">
      <c r="A72" s="1"/>
      <c r="B72" s="20"/>
      <c r="C72" s="68" t="s">
        <v>182</v>
      </c>
      <c r="D72" s="69">
        <f t="shared" si="9"/>
        <v>1650000</v>
      </c>
      <c r="E72" s="70"/>
      <c r="F72" s="69">
        <f t="shared" si="7"/>
        <v>1650000</v>
      </c>
      <c r="G72" s="67">
        <v>1650000</v>
      </c>
      <c r="H72" s="22"/>
      <c r="I72" s="44">
        <f t="shared" si="10"/>
        <v>0</v>
      </c>
      <c r="J72" s="63">
        <f t="shared" si="11"/>
        <v>0</v>
      </c>
      <c r="L72" s="73">
        <f t="shared" si="8"/>
        <v>-119000</v>
      </c>
      <c r="M72" s="71"/>
      <c r="N72" s="71"/>
      <c r="O72" s="71">
        <v>1320000</v>
      </c>
      <c r="P72" s="71">
        <f>-1201000</f>
        <v>-1201000</v>
      </c>
      <c r="Q72" s="71"/>
      <c r="R72" s="71">
        <v>330000</v>
      </c>
      <c r="S72" s="71"/>
      <c r="T72" s="71">
        <f>900000</f>
        <v>900000</v>
      </c>
      <c r="U72" s="71"/>
      <c r="V72" s="71"/>
      <c r="W72" s="71">
        <f>301000</f>
        <v>301000</v>
      </c>
      <c r="X72" s="71"/>
      <c r="Y72" s="22">
        <f t="shared" si="12"/>
        <v>1650000</v>
      </c>
      <c r="Z72" s="39">
        <f t="shared" si="6"/>
        <v>0</v>
      </c>
    </row>
    <row r="73" spans="1:26" ht="26.25" customHeight="1">
      <c r="A73" s="1"/>
      <c r="B73" s="20"/>
      <c r="C73" s="68" t="s">
        <v>114</v>
      </c>
      <c r="D73" s="69">
        <f t="shared" si="9"/>
        <v>480000</v>
      </c>
      <c r="E73" s="70"/>
      <c r="F73" s="69">
        <f t="shared" si="7"/>
        <v>480000</v>
      </c>
      <c r="G73" s="67">
        <v>480000</v>
      </c>
      <c r="H73" s="22"/>
      <c r="I73" s="44">
        <f t="shared" si="10"/>
        <v>0</v>
      </c>
      <c r="J73" s="63">
        <f t="shared" si="11"/>
        <v>0</v>
      </c>
      <c r="L73" s="73">
        <f t="shared" si="8"/>
        <v>-48000</v>
      </c>
      <c r="M73" s="71"/>
      <c r="N73" s="71"/>
      <c r="O73" s="71">
        <v>48000</v>
      </c>
      <c r="P73" s="71"/>
      <c r="Q73" s="71"/>
      <c r="R73" s="71"/>
      <c r="S73" s="71"/>
      <c r="T73" s="71"/>
      <c r="U73" s="71"/>
      <c r="V73" s="71">
        <v>336000</v>
      </c>
      <c r="W73" s="71"/>
      <c r="X73" s="71">
        <v>96000</v>
      </c>
      <c r="Y73" s="22">
        <f t="shared" si="12"/>
        <v>480000</v>
      </c>
      <c r="Z73" s="39">
        <f t="shared" si="6"/>
        <v>0</v>
      </c>
    </row>
    <row r="74" spans="1:26" ht="26.25" customHeight="1">
      <c r="A74" s="1"/>
      <c r="B74" s="20"/>
      <c r="C74" s="68" t="s">
        <v>115</v>
      </c>
      <c r="D74" s="69">
        <f t="shared" si="9"/>
        <v>116000</v>
      </c>
      <c r="E74" s="70"/>
      <c r="F74" s="69">
        <f t="shared" si="7"/>
        <v>116000</v>
      </c>
      <c r="G74" s="67">
        <v>116000</v>
      </c>
      <c r="H74" s="22"/>
      <c r="I74" s="44">
        <f t="shared" si="10"/>
        <v>0</v>
      </c>
      <c r="J74" s="63">
        <f t="shared" si="11"/>
        <v>0</v>
      </c>
      <c r="L74" s="73">
        <f t="shared" si="8"/>
        <v>-11600</v>
      </c>
      <c r="M74" s="71"/>
      <c r="N74" s="71"/>
      <c r="O74" s="71">
        <v>11600</v>
      </c>
      <c r="P74" s="71"/>
      <c r="Q74" s="71"/>
      <c r="R74" s="71"/>
      <c r="S74" s="71"/>
      <c r="T74" s="71"/>
      <c r="U74" s="71"/>
      <c r="V74" s="71">
        <v>81200</v>
      </c>
      <c r="W74" s="71"/>
      <c r="X74" s="71">
        <v>23200</v>
      </c>
      <c r="Y74" s="22">
        <f t="shared" si="12"/>
        <v>116000</v>
      </c>
      <c r="Z74" s="39">
        <f t="shared" si="6"/>
        <v>0</v>
      </c>
    </row>
    <row r="75" spans="1:26" ht="26.25" customHeight="1">
      <c r="A75" s="1"/>
      <c r="B75" s="20"/>
      <c r="C75" s="68" t="s">
        <v>116</v>
      </c>
      <c r="D75" s="69">
        <f t="shared" si="9"/>
        <v>116000</v>
      </c>
      <c r="E75" s="70"/>
      <c r="F75" s="69">
        <f t="shared" si="7"/>
        <v>116000</v>
      </c>
      <c r="G75" s="67">
        <v>116000</v>
      </c>
      <c r="H75" s="22"/>
      <c r="I75" s="44">
        <f t="shared" si="10"/>
        <v>0</v>
      </c>
      <c r="J75" s="63">
        <f t="shared" si="11"/>
        <v>0</v>
      </c>
      <c r="L75" s="73">
        <f t="shared" si="8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52200</v>
      </c>
      <c r="W75" s="71"/>
      <c r="X75" s="71">
        <v>52200</v>
      </c>
      <c r="Y75" s="22">
        <f t="shared" si="12"/>
        <v>116000</v>
      </c>
      <c r="Z75" s="39">
        <f t="shared" si="6"/>
        <v>0</v>
      </c>
    </row>
    <row r="76" spans="1:26" ht="26.25" customHeight="1">
      <c r="A76" s="1"/>
      <c r="B76" s="20"/>
      <c r="C76" s="68" t="s">
        <v>117</v>
      </c>
      <c r="D76" s="69">
        <f t="shared" si="9"/>
        <v>50000</v>
      </c>
      <c r="E76" s="70"/>
      <c r="F76" s="69">
        <f t="shared" si="7"/>
        <v>50000</v>
      </c>
      <c r="G76" s="67">
        <v>50000</v>
      </c>
      <c r="H76" s="22"/>
      <c r="I76" s="44">
        <f t="shared" si="10"/>
        <v>0</v>
      </c>
      <c r="J76" s="63">
        <f t="shared" si="11"/>
        <v>0</v>
      </c>
      <c r="L76" s="73">
        <f t="shared" si="8"/>
        <v>-5000</v>
      </c>
      <c r="M76" s="71"/>
      <c r="N76" s="71"/>
      <c r="O76" s="71">
        <v>5000</v>
      </c>
      <c r="P76" s="71"/>
      <c r="Q76" s="71"/>
      <c r="R76" s="71"/>
      <c r="S76" s="71"/>
      <c r="T76" s="71"/>
      <c r="U76" s="71"/>
      <c r="V76" s="71">
        <v>35000</v>
      </c>
      <c r="W76" s="71"/>
      <c r="X76" s="71">
        <v>10000</v>
      </c>
      <c r="Y76" s="22">
        <f t="shared" si="12"/>
        <v>50000</v>
      </c>
      <c r="Z76" s="39">
        <f t="shared" si="6"/>
        <v>0</v>
      </c>
    </row>
    <row r="77" spans="1:26" ht="26.25" customHeight="1">
      <c r="A77" s="1"/>
      <c r="B77" s="20"/>
      <c r="C77" s="68" t="s">
        <v>118</v>
      </c>
      <c r="D77" s="69">
        <f t="shared" si="9"/>
        <v>116000</v>
      </c>
      <c r="E77" s="70"/>
      <c r="F77" s="69">
        <f t="shared" si="7"/>
        <v>116000</v>
      </c>
      <c r="G77" s="67">
        <v>116000</v>
      </c>
      <c r="H77" s="22"/>
      <c r="I77" s="44">
        <f t="shared" si="10"/>
        <v>0</v>
      </c>
      <c r="J77" s="63">
        <f t="shared" si="11"/>
        <v>0</v>
      </c>
      <c r="L77" s="73">
        <f t="shared" si="8"/>
        <v>-11600</v>
      </c>
      <c r="M77" s="71"/>
      <c r="N77" s="71"/>
      <c r="O77" s="71">
        <v>11600</v>
      </c>
      <c r="P77" s="71"/>
      <c r="Q77" s="71"/>
      <c r="R77" s="71"/>
      <c r="S77" s="71"/>
      <c r="T77" s="71"/>
      <c r="U77" s="71"/>
      <c r="V77" s="71">
        <v>81200</v>
      </c>
      <c r="W77" s="71"/>
      <c r="X77" s="71">
        <v>23200</v>
      </c>
      <c r="Y77" s="22">
        <f t="shared" si="12"/>
        <v>116000</v>
      </c>
      <c r="Z77" s="39">
        <f t="shared" si="6"/>
        <v>0</v>
      </c>
    </row>
    <row r="78" spans="1:26" ht="26.25" customHeight="1">
      <c r="A78" s="1"/>
      <c r="B78" s="20"/>
      <c r="C78" s="68" t="s">
        <v>119</v>
      </c>
      <c r="D78" s="69">
        <f t="shared" si="9"/>
        <v>263000</v>
      </c>
      <c r="E78" s="70"/>
      <c r="F78" s="69">
        <f t="shared" si="7"/>
        <v>263000</v>
      </c>
      <c r="G78" s="67">
        <v>263000</v>
      </c>
      <c r="H78" s="22"/>
      <c r="I78" s="44">
        <f t="shared" si="10"/>
        <v>0</v>
      </c>
      <c r="J78" s="63">
        <f t="shared" si="11"/>
        <v>0</v>
      </c>
      <c r="L78" s="73">
        <f t="shared" si="8"/>
        <v>-26300</v>
      </c>
      <c r="M78" s="71"/>
      <c r="N78" s="71"/>
      <c r="O78" s="71">
        <v>26300</v>
      </c>
      <c r="P78" s="71"/>
      <c r="Q78" s="71"/>
      <c r="R78" s="71"/>
      <c r="S78" s="71"/>
      <c r="T78" s="71"/>
      <c r="U78" s="71"/>
      <c r="V78" s="71">
        <v>184100</v>
      </c>
      <c r="W78" s="71"/>
      <c r="X78" s="71">
        <v>52600</v>
      </c>
      <c r="Y78" s="22">
        <f t="shared" si="12"/>
        <v>263000</v>
      </c>
      <c r="Z78" s="39">
        <f t="shared" si="6"/>
        <v>0</v>
      </c>
    </row>
    <row r="79" spans="1:26" ht="26.25" customHeight="1">
      <c r="A79" s="1"/>
      <c r="B79" s="20"/>
      <c r="C79" s="68" t="s">
        <v>120</v>
      </c>
      <c r="D79" s="69">
        <f t="shared" si="9"/>
        <v>118000</v>
      </c>
      <c r="E79" s="70"/>
      <c r="F79" s="69">
        <f t="shared" si="7"/>
        <v>118000</v>
      </c>
      <c r="G79" s="67">
        <v>118000</v>
      </c>
      <c r="H79" s="22"/>
      <c r="I79" s="44">
        <f t="shared" si="10"/>
        <v>0</v>
      </c>
      <c r="J79" s="63">
        <f t="shared" si="11"/>
        <v>0</v>
      </c>
      <c r="L79" s="73">
        <f t="shared" si="8"/>
        <v>-11800</v>
      </c>
      <c r="M79" s="71"/>
      <c r="N79" s="71"/>
      <c r="O79" s="71">
        <v>11800</v>
      </c>
      <c r="P79" s="71"/>
      <c r="Q79" s="71"/>
      <c r="R79" s="71"/>
      <c r="S79" s="71"/>
      <c r="T79" s="71"/>
      <c r="U79" s="71"/>
      <c r="V79" s="71">
        <v>82600</v>
      </c>
      <c r="W79" s="71"/>
      <c r="X79" s="71">
        <v>23600</v>
      </c>
      <c r="Y79" s="22">
        <f t="shared" si="12"/>
        <v>118000</v>
      </c>
      <c r="Z79" s="39">
        <f t="shared" si="6"/>
        <v>0</v>
      </c>
    </row>
    <row r="80" spans="1:26" ht="26.25" customHeight="1">
      <c r="A80" s="1"/>
      <c r="B80" s="20"/>
      <c r="C80" s="68" t="s">
        <v>121</v>
      </c>
      <c r="D80" s="69">
        <f t="shared" si="9"/>
        <v>232000</v>
      </c>
      <c r="E80" s="70"/>
      <c r="F80" s="69">
        <f t="shared" si="7"/>
        <v>232000</v>
      </c>
      <c r="G80" s="67">
        <v>232000</v>
      </c>
      <c r="H80" s="22"/>
      <c r="I80" s="44">
        <f t="shared" si="10"/>
        <v>0</v>
      </c>
      <c r="J80" s="63">
        <f t="shared" si="11"/>
        <v>0</v>
      </c>
      <c r="L80" s="73">
        <f t="shared" si="8"/>
        <v>-23200</v>
      </c>
      <c r="M80" s="71"/>
      <c r="N80" s="71"/>
      <c r="O80" s="71">
        <v>23200</v>
      </c>
      <c r="P80" s="71"/>
      <c r="Q80" s="71"/>
      <c r="R80" s="71"/>
      <c r="S80" s="71"/>
      <c r="T80" s="71"/>
      <c r="U80" s="71"/>
      <c r="V80" s="71">
        <v>162400</v>
      </c>
      <c r="W80" s="71"/>
      <c r="X80" s="71">
        <v>46400</v>
      </c>
      <c r="Y80" s="22">
        <f t="shared" si="12"/>
        <v>232000</v>
      </c>
      <c r="Z80" s="39">
        <f t="shared" si="6"/>
        <v>0</v>
      </c>
    </row>
    <row r="81" spans="1:26" ht="26.25" customHeight="1">
      <c r="A81" s="1"/>
      <c r="B81" s="20"/>
      <c r="C81" s="68" t="s">
        <v>122</v>
      </c>
      <c r="D81" s="69">
        <f t="shared" si="9"/>
        <v>150000</v>
      </c>
      <c r="E81" s="70"/>
      <c r="F81" s="69">
        <f t="shared" si="7"/>
        <v>150000</v>
      </c>
      <c r="G81" s="67">
        <v>150000</v>
      </c>
      <c r="H81" s="22"/>
      <c r="I81" s="44">
        <f t="shared" si="10"/>
        <v>0</v>
      </c>
      <c r="J81" s="63">
        <f t="shared" si="11"/>
        <v>0</v>
      </c>
      <c r="L81" s="73">
        <f t="shared" si="8"/>
        <v>-15000</v>
      </c>
      <c r="M81" s="71"/>
      <c r="N81" s="71"/>
      <c r="O81" s="71">
        <v>15000</v>
      </c>
      <c r="P81" s="71"/>
      <c r="Q81" s="71"/>
      <c r="R81" s="71"/>
      <c r="S81" s="71"/>
      <c r="T81" s="71"/>
      <c r="U81" s="71"/>
      <c r="V81" s="71">
        <v>105000</v>
      </c>
      <c r="W81" s="71"/>
      <c r="X81" s="71">
        <v>30000</v>
      </c>
      <c r="Y81" s="22">
        <f t="shared" si="12"/>
        <v>150000</v>
      </c>
      <c r="Z81" s="39">
        <f t="shared" si="6"/>
        <v>0</v>
      </c>
    </row>
    <row r="82" spans="1:26" ht="26.25" customHeight="1">
      <c r="A82" s="1"/>
      <c r="B82" s="20"/>
      <c r="C82" s="68" t="s">
        <v>123</v>
      </c>
      <c r="D82" s="69">
        <f t="shared" si="9"/>
        <v>350000</v>
      </c>
      <c r="E82" s="70"/>
      <c r="F82" s="69">
        <f t="shared" si="7"/>
        <v>350000</v>
      </c>
      <c r="G82" s="67">
        <v>350000</v>
      </c>
      <c r="H82" s="22"/>
      <c r="I82" s="44">
        <f t="shared" si="10"/>
        <v>0</v>
      </c>
      <c r="J82" s="63">
        <f t="shared" si="11"/>
        <v>0</v>
      </c>
      <c r="L82" s="73">
        <f t="shared" si="8"/>
        <v>-35000</v>
      </c>
      <c r="M82" s="71"/>
      <c r="N82" s="71"/>
      <c r="O82" s="71">
        <v>35000</v>
      </c>
      <c r="P82" s="71"/>
      <c r="Q82" s="71"/>
      <c r="R82" s="71"/>
      <c r="S82" s="71"/>
      <c r="T82" s="71"/>
      <c r="U82" s="71"/>
      <c r="V82" s="71">
        <v>157500</v>
      </c>
      <c r="W82" s="71"/>
      <c r="X82" s="71">
        <v>157500</v>
      </c>
      <c r="Y82" s="22">
        <f t="shared" si="12"/>
        <v>350000</v>
      </c>
      <c r="Z82" s="39">
        <f t="shared" si="6"/>
        <v>0</v>
      </c>
    </row>
    <row r="83" spans="1:26" ht="26.25" customHeight="1">
      <c r="A83" s="1"/>
      <c r="B83" s="20"/>
      <c r="C83" s="68" t="s">
        <v>124</v>
      </c>
      <c r="D83" s="69">
        <f t="shared" si="9"/>
        <v>130000</v>
      </c>
      <c r="E83" s="70"/>
      <c r="F83" s="69">
        <f t="shared" si="7"/>
        <v>130000</v>
      </c>
      <c r="G83" s="67">
        <v>130000</v>
      </c>
      <c r="H83" s="22"/>
      <c r="I83" s="44">
        <f t="shared" si="10"/>
        <v>0</v>
      </c>
      <c r="J83" s="63">
        <f t="shared" si="11"/>
        <v>0</v>
      </c>
      <c r="L83" s="73">
        <f t="shared" si="8"/>
        <v>-13000</v>
      </c>
      <c r="M83" s="71"/>
      <c r="N83" s="71"/>
      <c r="O83" s="71">
        <v>13000</v>
      </c>
      <c r="P83" s="71"/>
      <c r="Q83" s="71"/>
      <c r="R83" s="71"/>
      <c r="S83" s="71"/>
      <c r="T83" s="71"/>
      <c r="U83" s="71"/>
      <c r="V83" s="71">
        <v>91000</v>
      </c>
      <c r="W83" s="71"/>
      <c r="X83" s="71">
        <v>26000</v>
      </c>
      <c r="Y83" s="22">
        <f t="shared" si="12"/>
        <v>130000</v>
      </c>
      <c r="Z83" s="39">
        <f t="shared" si="6"/>
        <v>0</v>
      </c>
    </row>
    <row r="84" spans="1:26" ht="26.25" customHeight="1">
      <c r="A84" s="1"/>
      <c r="B84" s="20"/>
      <c r="C84" s="68" t="s">
        <v>125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>
        <f t="shared" si="11"/>
        <v>0</v>
      </c>
      <c r="L84" s="73">
        <f t="shared" si="8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6"/>
        <v>0</v>
      </c>
    </row>
    <row r="85" spans="1:26" ht="26.25" customHeight="1">
      <c r="A85" s="1"/>
      <c r="B85" s="20"/>
      <c r="C85" s="68" t="s">
        <v>126</v>
      </c>
      <c r="D85" s="69">
        <f t="shared" si="9"/>
        <v>133000</v>
      </c>
      <c r="E85" s="70"/>
      <c r="F85" s="69">
        <f t="shared" si="7"/>
        <v>133000</v>
      </c>
      <c r="G85" s="67">
        <v>133000</v>
      </c>
      <c r="H85" s="22"/>
      <c r="I85" s="44">
        <f t="shared" si="10"/>
        <v>0</v>
      </c>
      <c r="J85" s="63">
        <f t="shared" si="11"/>
        <v>0</v>
      </c>
      <c r="L85" s="73">
        <f t="shared" si="8"/>
        <v>-13300</v>
      </c>
      <c r="M85" s="71"/>
      <c r="N85" s="71"/>
      <c r="O85" s="71">
        <v>13300</v>
      </c>
      <c r="P85" s="71"/>
      <c r="Q85" s="71"/>
      <c r="R85" s="71"/>
      <c r="S85" s="71"/>
      <c r="T85" s="71"/>
      <c r="U85" s="71"/>
      <c r="V85" s="71">
        <v>93100</v>
      </c>
      <c r="W85" s="71"/>
      <c r="X85" s="71">
        <v>26600</v>
      </c>
      <c r="Y85" s="22">
        <f t="shared" si="12"/>
        <v>133000</v>
      </c>
      <c r="Z85" s="39">
        <f t="shared" si="6"/>
        <v>0</v>
      </c>
    </row>
    <row r="86" spans="1:26" ht="26.25" customHeight="1">
      <c r="A86" s="1"/>
      <c r="B86" s="20"/>
      <c r="C86" s="68" t="s">
        <v>127</v>
      </c>
      <c r="D86" s="69">
        <f t="shared" si="9"/>
        <v>116000</v>
      </c>
      <c r="E86" s="70"/>
      <c r="F86" s="69">
        <f t="shared" si="7"/>
        <v>116000</v>
      </c>
      <c r="G86" s="67">
        <v>116000</v>
      </c>
      <c r="H86" s="22"/>
      <c r="I86" s="44">
        <f t="shared" si="10"/>
        <v>0</v>
      </c>
      <c r="J86" s="63">
        <f t="shared" si="11"/>
        <v>0</v>
      </c>
      <c r="L86" s="73">
        <f t="shared" si="8"/>
        <v>-11600</v>
      </c>
      <c r="M86" s="71"/>
      <c r="N86" s="71"/>
      <c r="O86" s="71">
        <v>11600</v>
      </c>
      <c r="P86" s="71"/>
      <c r="Q86" s="71"/>
      <c r="R86" s="71"/>
      <c r="S86" s="71"/>
      <c r="T86" s="71"/>
      <c r="U86" s="71"/>
      <c r="V86" s="71">
        <v>81200</v>
      </c>
      <c r="W86" s="71"/>
      <c r="X86" s="71">
        <v>23200</v>
      </c>
      <c r="Y86" s="22">
        <f t="shared" si="12"/>
        <v>116000</v>
      </c>
      <c r="Z86" s="39">
        <f t="shared" si="6"/>
        <v>0</v>
      </c>
    </row>
    <row r="87" spans="1:26" ht="25.5" customHeight="1">
      <c r="A87" s="1"/>
      <c r="B87" s="20"/>
      <c r="C87" s="68" t="s">
        <v>183</v>
      </c>
      <c r="D87" s="69">
        <f>G87</f>
        <v>394000</v>
      </c>
      <c r="E87" s="70"/>
      <c r="F87" s="69">
        <f>G87</f>
        <v>394000</v>
      </c>
      <c r="G87" s="67">
        <v>394000</v>
      </c>
      <c r="H87" s="24">
        <f>35460.63</f>
        <v>35460.63</v>
      </c>
      <c r="I87" s="42">
        <f>H87/D87*100</f>
        <v>9.000159898477158</v>
      </c>
      <c r="J87" s="63">
        <f t="shared" si="11"/>
        <v>90.00159898477158</v>
      </c>
      <c r="L87" s="73">
        <f t="shared" si="8"/>
        <v>-3939.3700000000026</v>
      </c>
      <c r="M87" s="71"/>
      <c r="N87" s="71"/>
      <c r="O87" s="71">
        <v>39400</v>
      </c>
      <c r="P87" s="71"/>
      <c r="Q87" s="71"/>
      <c r="R87" s="71"/>
      <c r="S87" s="71"/>
      <c r="T87" s="71"/>
      <c r="U87" s="71"/>
      <c r="V87" s="71">
        <v>275800</v>
      </c>
      <c r="W87" s="71"/>
      <c r="X87" s="71">
        <v>78800</v>
      </c>
      <c r="Y87" s="22">
        <f t="shared" si="12"/>
        <v>394000</v>
      </c>
      <c r="Z87" s="39">
        <f t="shared" si="6"/>
        <v>0</v>
      </c>
    </row>
    <row r="88" spans="1:26" ht="26.25" customHeight="1">
      <c r="A88" s="1"/>
      <c r="B88" s="20"/>
      <c r="C88" s="68" t="s">
        <v>128</v>
      </c>
      <c r="D88" s="69">
        <f t="shared" si="9"/>
        <v>180000</v>
      </c>
      <c r="E88" s="70"/>
      <c r="F88" s="69">
        <f t="shared" si="7"/>
        <v>180000</v>
      </c>
      <c r="G88" s="67">
        <v>180000</v>
      </c>
      <c r="H88" s="22"/>
      <c r="I88" s="44">
        <f t="shared" si="10"/>
        <v>0</v>
      </c>
      <c r="J88" s="63">
        <f t="shared" si="11"/>
        <v>0</v>
      </c>
      <c r="L88" s="73">
        <f t="shared" si="8"/>
        <v>-18000</v>
      </c>
      <c r="M88" s="71"/>
      <c r="N88" s="71"/>
      <c r="O88" s="71">
        <v>18000</v>
      </c>
      <c r="P88" s="71"/>
      <c r="Q88" s="71"/>
      <c r="R88" s="71"/>
      <c r="S88" s="71"/>
      <c r="T88" s="71"/>
      <c r="U88" s="71"/>
      <c r="V88" s="71">
        <v>126000</v>
      </c>
      <c r="W88" s="71"/>
      <c r="X88" s="71">
        <v>36000</v>
      </c>
      <c r="Y88" s="22">
        <f t="shared" si="12"/>
        <v>180000</v>
      </c>
      <c r="Z88" s="39">
        <f t="shared" si="6"/>
        <v>0</v>
      </c>
    </row>
    <row r="89" spans="1:26" ht="26.25" customHeight="1">
      <c r="A89" s="1"/>
      <c r="B89" s="20"/>
      <c r="C89" s="68" t="s">
        <v>129</v>
      </c>
      <c r="D89" s="69">
        <f t="shared" si="9"/>
        <v>106000</v>
      </c>
      <c r="E89" s="70"/>
      <c r="F89" s="69">
        <f t="shared" si="7"/>
        <v>106000</v>
      </c>
      <c r="G89" s="67">
        <v>106000</v>
      </c>
      <c r="H89" s="22"/>
      <c r="I89" s="44">
        <f t="shared" si="10"/>
        <v>0</v>
      </c>
      <c r="J89" s="63">
        <f t="shared" si="11"/>
        <v>0</v>
      </c>
      <c r="L89" s="73">
        <f t="shared" si="8"/>
        <v>-10600</v>
      </c>
      <c r="M89" s="71"/>
      <c r="N89" s="71"/>
      <c r="O89" s="71">
        <v>10600</v>
      </c>
      <c r="P89" s="71"/>
      <c r="Q89" s="71"/>
      <c r="R89" s="71"/>
      <c r="S89" s="71"/>
      <c r="T89" s="71"/>
      <c r="U89" s="71"/>
      <c r="V89" s="71">
        <v>74200</v>
      </c>
      <c r="W89" s="71"/>
      <c r="X89" s="71">
        <v>21200</v>
      </c>
      <c r="Y89" s="22">
        <f t="shared" si="12"/>
        <v>106000</v>
      </c>
      <c r="Z89" s="39">
        <f t="shared" si="6"/>
        <v>0</v>
      </c>
    </row>
    <row r="90" spans="1:26" ht="26.25" customHeight="1">
      <c r="A90" s="1"/>
      <c r="B90" s="20"/>
      <c r="C90" s="68" t="s">
        <v>130</v>
      </c>
      <c r="D90" s="69">
        <f>G90</f>
        <v>232000</v>
      </c>
      <c r="E90" s="70"/>
      <c r="F90" s="69">
        <f>G90</f>
        <v>232000</v>
      </c>
      <c r="G90" s="67">
        <v>232000</v>
      </c>
      <c r="H90" s="22"/>
      <c r="I90" s="44">
        <f t="shared" si="10"/>
        <v>0</v>
      </c>
      <c r="J90" s="63">
        <f t="shared" si="11"/>
        <v>0</v>
      </c>
      <c r="L90" s="73">
        <f t="shared" si="8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aca="true" t="shared" si="13" ref="Z90:Z137">Y90-D90</f>
        <v>0</v>
      </c>
    </row>
    <row r="91" spans="1:26" ht="26.25" customHeight="1">
      <c r="A91" s="1"/>
      <c r="B91" s="20"/>
      <c r="C91" s="68" t="s">
        <v>131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10"/>
        <v>0</v>
      </c>
      <c r="J91" s="63">
        <f t="shared" si="11"/>
        <v>0</v>
      </c>
      <c r="L91" s="73">
        <f aca="true" t="shared" si="14" ref="L91:L137">H91-(M91+N91+O91+P91+Q91)</f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t="shared" si="13"/>
        <v>0</v>
      </c>
    </row>
    <row r="92" spans="1:26" ht="26.25" customHeight="1">
      <c r="A92" s="1"/>
      <c r="B92" s="20"/>
      <c r="C92" s="68" t="s">
        <v>132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5" ref="I92:I137">H92/D92*100</f>
        <v>0</v>
      </c>
      <c r="J92" s="63">
        <f aca="true" t="shared" si="16" ref="J92:J137">H92/(N92+O92+P92+Q92)*100</f>
        <v>0</v>
      </c>
      <c r="L92" s="73">
        <f t="shared" si="14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8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5"/>
        <v>0</v>
      </c>
      <c r="J93" s="63">
        <f t="shared" si="16"/>
        <v>0</v>
      </c>
      <c r="L93" s="73">
        <f t="shared" si="14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133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5"/>
        <v>0</v>
      </c>
      <c r="J94" s="63">
        <f t="shared" si="16"/>
        <v>0</v>
      </c>
      <c r="L94" s="73">
        <f t="shared" si="14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47.25" customHeight="1">
      <c r="A95" s="1"/>
      <c r="B95" s="20"/>
      <c r="C95" s="56" t="s">
        <v>46</v>
      </c>
      <c r="D95" s="24">
        <f>E95+F95</f>
        <v>240000</v>
      </c>
      <c r="E95" s="26"/>
      <c r="F95" s="24">
        <v>240000</v>
      </c>
      <c r="G95" s="57">
        <f>F95</f>
        <v>240000</v>
      </c>
      <c r="H95" s="24"/>
      <c r="I95" s="44">
        <f t="shared" si="15"/>
        <v>0</v>
      </c>
      <c r="J95" s="63">
        <f t="shared" si="16"/>
        <v>0</v>
      </c>
      <c r="L95" s="73">
        <f t="shared" si="14"/>
        <v>-240000</v>
      </c>
      <c r="M95" s="71"/>
      <c r="N95" s="72">
        <v>240000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22">
        <f t="shared" si="17"/>
        <v>240000</v>
      </c>
      <c r="Z95" s="39">
        <f t="shared" si="13"/>
        <v>0</v>
      </c>
    </row>
    <row r="96" spans="1:26" ht="25.5" customHeight="1">
      <c r="A96" s="1"/>
      <c r="B96" s="20"/>
      <c r="C96" s="68" t="s">
        <v>134</v>
      </c>
      <c r="D96" s="69">
        <f aca="true" t="shared" si="18" ref="D96:D103">G96</f>
        <v>580000</v>
      </c>
      <c r="E96" s="70"/>
      <c r="F96" s="69">
        <f aca="true" t="shared" si="19" ref="F96:F103">G96</f>
        <v>580000</v>
      </c>
      <c r="G96" s="67">
        <v>580000</v>
      </c>
      <c r="H96" s="24"/>
      <c r="I96" s="44">
        <f t="shared" si="15"/>
        <v>0</v>
      </c>
      <c r="J96" s="63">
        <f t="shared" si="16"/>
        <v>0</v>
      </c>
      <c r="L96" s="73">
        <f t="shared" si="14"/>
        <v>-58000</v>
      </c>
      <c r="M96" s="71"/>
      <c r="N96" s="71"/>
      <c r="O96" s="71">
        <v>58000</v>
      </c>
      <c r="P96" s="71"/>
      <c r="Q96" s="71"/>
      <c r="R96" s="71"/>
      <c r="S96" s="71"/>
      <c r="T96" s="71"/>
      <c r="U96" s="71">
        <v>406000</v>
      </c>
      <c r="V96" s="71"/>
      <c r="W96" s="71">
        <v>116000</v>
      </c>
      <c r="X96" s="71"/>
      <c r="Y96" s="22">
        <f t="shared" si="17"/>
        <v>580000</v>
      </c>
      <c r="Z96" s="39">
        <f t="shared" si="13"/>
        <v>0</v>
      </c>
    </row>
    <row r="97" spans="1:26" ht="45" customHeight="1">
      <c r="A97" s="1"/>
      <c r="B97" s="20"/>
      <c r="C97" s="68" t="s">
        <v>135</v>
      </c>
      <c r="D97" s="69">
        <f t="shared" si="18"/>
        <v>133000</v>
      </c>
      <c r="E97" s="70"/>
      <c r="F97" s="69">
        <f t="shared" si="19"/>
        <v>133000</v>
      </c>
      <c r="G97" s="67">
        <v>133000</v>
      </c>
      <c r="H97" s="24"/>
      <c r="I97" s="44">
        <f t="shared" si="15"/>
        <v>0</v>
      </c>
      <c r="J97" s="63">
        <f t="shared" si="16"/>
        <v>0</v>
      </c>
      <c r="L97" s="73">
        <f t="shared" si="14"/>
        <v>-13300</v>
      </c>
      <c r="M97" s="71"/>
      <c r="N97" s="71"/>
      <c r="O97" s="71">
        <v>13300</v>
      </c>
      <c r="P97" s="71"/>
      <c r="Q97" s="71"/>
      <c r="R97" s="71"/>
      <c r="S97" s="71"/>
      <c r="T97" s="71"/>
      <c r="U97" s="71">
        <v>93100</v>
      </c>
      <c r="V97" s="71"/>
      <c r="W97" s="71">
        <v>26600</v>
      </c>
      <c r="X97" s="71"/>
      <c r="Y97" s="22">
        <f t="shared" si="17"/>
        <v>133000</v>
      </c>
      <c r="Z97" s="39">
        <f t="shared" si="13"/>
        <v>0</v>
      </c>
    </row>
    <row r="98" spans="1:26" ht="24" customHeight="1">
      <c r="A98" s="1"/>
      <c r="B98" s="20"/>
      <c r="C98" s="68" t="s">
        <v>136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5"/>
        <v>0</v>
      </c>
      <c r="J98" s="63">
        <f t="shared" si="16"/>
        <v>0</v>
      </c>
      <c r="L98" s="73">
        <f t="shared" si="14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5.5" customHeight="1">
      <c r="A99" s="1"/>
      <c r="B99" s="20"/>
      <c r="C99" s="68" t="s">
        <v>137</v>
      </c>
      <c r="D99" s="69">
        <f t="shared" si="18"/>
        <v>232000</v>
      </c>
      <c r="E99" s="70"/>
      <c r="F99" s="69">
        <f t="shared" si="19"/>
        <v>232000</v>
      </c>
      <c r="G99" s="67">
        <v>232000</v>
      </c>
      <c r="H99" s="24"/>
      <c r="I99" s="44">
        <f t="shared" si="15"/>
        <v>0</v>
      </c>
      <c r="J99" s="63">
        <f t="shared" si="16"/>
        <v>0</v>
      </c>
      <c r="L99" s="73">
        <f t="shared" si="14"/>
        <v>-23200</v>
      </c>
      <c r="M99" s="71"/>
      <c r="N99" s="71"/>
      <c r="O99" s="71">
        <v>23200</v>
      </c>
      <c r="P99" s="71"/>
      <c r="Q99" s="71"/>
      <c r="R99" s="71"/>
      <c r="S99" s="71"/>
      <c r="T99" s="71"/>
      <c r="U99" s="71">
        <v>162400</v>
      </c>
      <c r="V99" s="71"/>
      <c r="W99" s="71">
        <v>46400</v>
      </c>
      <c r="X99" s="71"/>
      <c r="Y99" s="22">
        <f t="shared" si="17"/>
        <v>232000</v>
      </c>
      <c r="Z99" s="39">
        <f t="shared" si="13"/>
        <v>0</v>
      </c>
    </row>
    <row r="100" spans="1:26" ht="25.5" customHeight="1">
      <c r="A100" s="1"/>
      <c r="B100" s="20"/>
      <c r="C100" s="68" t="s">
        <v>138</v>
      </c>
      <c r="D100" s="69">
        <f t="shared" si="18"/>
        <v>133000</v>
      </c>
      <c r="E100" s="70"/>
      <c r="F100" s="69">
        <f t="shared" si="19"/>
        <v>133000</v>
      </c>
      <c r="G100" s="67">
        <v>133000</v>
      </c>
      <c r="H100" s="24"/>
      <c r="I100" s="44">
        <f t="shared" si="15"/>
        <v>0</v>
      </c>
      <c r="J100" s="63">
        <f t="shared" si="16"/>
        <v>0</v>
      </c>
      <c r="L100" s="73">
        <f t="shared" si="14"/>
        <v>-13300</v>
      </c>
      <c r="M100" s="71"/>
      <c r="N100" s="71"/>
      <c r="O100" s="71">
        <v>13300</v>
      </c>
      <c r="P100" s="71"/>
      <c r="Q100" s="71"/>
      <c r="R100" s="71"/>
      <c r="S100" s="71"/>
      <c r="T100" s="71"/>
      <c r="U100" s="71">
        <v>93100</v>
      </c>
      <c r="V100" s="71"/>
      <c r="W100" s="71">
        <v>26600</v>
      </c>
      <c r="X100" s="71"/>
      <c r="Y100" s="22">
        <f t="shared" si="17"/>
        <v>133000</v>
      </c>
      <c r="Z100" s="39">
        <f t="shared" si="13"/>
        <v>0</v>
      </c>
    </row>
    <row r="101" spans="1:26" ht="27" customHeight="1">
      <c r="A101" s="1"/>
      <c r="B101" s="20"/>
      <c r="C101" s="68" t="s">
        <v>139</v>
      </c>
      <c r="D101" s="69">
        <f t="shared" si="18"/>
        <v>615100</v>
      </c>
      <c r="E101" s="70"/>
      <c r="F101" s="69">
        <f t="shared" si="19"/>
        <v>615100</v>
      </c>
      <c r="G101" s="67">
        <f>767000-151900</f>
        <v>615100</v>
      </c>
      <c r="H101" s="67">
        <f>32000+25000+400000</f>
        <v>457000</v>
      </c>
      <c r="I101" s="42">
        <f t="shared" si="15"/>
        <v>74.29686229881321</v>
      </c>
      <c r="J101" s="50">
        <f t="shared" si="16"/>
        <v>97.84882463649268</v>
      </c>
      <c r="L101" s="73">
        <f t="shared" si="14"/>
        <v>-10047</v>
      </c>
      <c r="M101" s="71"/>
      <c r="N101" s="71"/>
      <c r="O101" s="71">
        <v>76700</v>
      </c>
      <c r="P101" s="71">
        <f>390347</f>
        <v>390347</v>
      </c>
      <c r="Q101" s="71"/>
      <c r="R101" s="71"/>
      <c r="S101" s="71"/>
      <c r="T101" s="71"/>
      <c r="U101" s="71">
        <f>69819</f>
        <v>69819</v>
      </c>
      <c r="V101" s="71"/>
      <c r="W101" s="71">
        <f>78234</f>
        <v>78234</v>
      </c>
      <c r="X101" s="71"/>
      <c r="Y101" s="22">
        <f t="shared" si="17"/>
        <v>615100</v>
      </c>
      <c r="Z101" s="39">
        <f t="shared" si="13"/>
        <v>0</v>
      </c>
    </row>
    <row r="102" spans="1:26" ht="25.5" customHeight="1">
      <c r="A102" s="1"/>
      <c r="B102" s="20"/>
      <c r="C102" s="68" t="s">
        <v>140</v>
      </c>
      <c r="D102" s="69">
        <f t="shared" si="18"/>
        <v>979000</v>
      </c>
      <c r="E102" s="70"/>
      <c r="F102" s="69">
        <f t="shared" si="19"/>
        <v>979000</v>
      </c>
      <c r="G102" s="67">
        <v>979000</v>
      </c>
      <c r="H102" s="67">
        <f>28000+20000+360000</f>
        <v>408000</v>
      </c>
      <c r="I102" s="42">
        <f t="shared" si="15"/>
        <v>41.67517875383044</v>
      </c>
      <c r="J102" s="50">
        <f t="shared" si="16"/>
        <v>89.1024241100677</v>
      </c>
      <c r="L102" s="73">
        <f t="shared" si="14"/>
        <v>-49900</v>
      </c>
      <c r="M102" s="71"/>
      <c r="N102" s="71"/>
      <c r="O102" s="71">
        <v>97900</v>
      </c>
      <c r="P102" s="71">
        <f>360000</f>
        <v>360000</v>
      </c>
      <c r="Q102" s="71"/>
      <c r="R102" s="71"/>
      <c r="S102" s="71"/>
      <c r="T102" s="71"/>
      <c r="U102" s="71">
        <f>685300-360000</f>
        <v>325300</v>
      </c>
      <c r="V102" s="71"/>
      <c r="W102" s="71">
        <v>195800</v>
      </c>
      <c r="X102" s="71"/>
      <c r="Y102" s="22">
        <f t="shared" si="17"/>
        <v>979000</v>
      </c>
      <c r="Z102" s="39">
        <f t="shared" si="13"/>
        <v>0</v>
      </c>
    </row>
    <row r="103" spans="1:26" ht="27" customHeight="1">
      <c r="A103" s="1"/>
      <c r="B103" s="20"/>
      <c r="C103" s="68" t="s">
        <v>141</v>
      </c>
      <c r="D103" s="69">
        <f t="shared" si="18"/>
        <v>493000</v>
      </c>
      <c r="E103" s="70"/>
      <c r="F103" s="69">
        <f t="shared" si="19"/>
        <v>493000</v>
      </c>
      <c r="G103" s="67">
        <f>560000-67000</f>
        <v>493000</v>
      </c>
      <c r="H103" s="67"/>
      <c r="I103" s="44">
        <f t="shared" si="15"/>
        <v>0</v>
      </c>
      <c r="J103" s="63">
        <f t="shared" si="16"/>
        <v>0</v>
      </c>
      <c r="L103" s="73">
        <f t="shared" si="14"/>
        <v>-493000</v>
      </c>
      <c r="M103" s="71"/>
      <c r="N103" s="71"/>
      <c r="O103" s="71">
        <v>56000</v>
      </c>
      <c r="P103" s="71">
        <f>437000</f>
        <v>437000</v>
      </c>
      <c r="Q103" s="71"/>
      <c r="R103" s="71"/>
      <c r="S103" s="71"/>
      <c r="T103" s="71"/>
      <c r="U103" s="71"/>
      <c r="V103" s="71"/>
      <c r="W103" s="71">
        <v>0</v>
      </c>
      <c r="X103" s="71"/>
      <c r="Y103" s="22">
        <f t="shared" si="17"/>
        <v>493000</v>
      </c>
      <c r="Z103" s="39">
        <f t="shared" si="13"/>
        <v>0</v>
      </c>
    </row>
    <row r="104" spans="1:26" ht="43.5" customHeight="1">
      <c r="A104" s="1"/>
      <c r="B104" s="20"/>
      <c r="C104" s="56" t="s">
        <v>44</v>
      </c>
      <c r="D104" s="24">
        <f>E104+F104</f>
        <v>134745</v>
      </c>
      <c r="E104" s="26"/>
      <c r="F104" s="24">
        <v>134745</v>
      </c>
      <c r="G104" s="57">
        <f>F104</f>
        <v>134745</v>
      </c>
      <c r="H104" s="67"/>
      <c r="I104" s="44">
        <f t="shared" si="15"/>
        <v>0</v>
      </c>
      <c r="J104" s="63">
        <f t="shared" si="16"/>
        <v>0</v>
      </c>
      <c r="L104" s="73">
        <f t="shared" si="14"/>
        <v>-134745</v>
      </c>
      <c r="M104" s="71"/>
      <c r="N104" s="72">
        <v>134745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22">
        <f t="shared" si="17"/>
        <v>134745</v>
      </c>
      <c r="Z104" s="39">
        <f t="shared" si="13"/>
        <v>0</v>
      </c>
    </row>
    <row r="105" spans="1:26" ht="20.25" customHeight="1">
      <c r="A105" s="1"/>
      <c r="B105" s="20"/>
      <c r="C105" s="68" t="s">
        <v>142</v>
      </c>
      <c r="D105" s="69">
        <f aca="true" t="shared" si="20" ref="D105:D111">G105</f>
        <v>2516000</v>
      </c>
      <c r="E105" s="70"/>
      <c r="F105" s="69">
        <f aca="true" t="shared" si="21" ref="F105:F111">G105</f>
        <v>2516000</v>
      </c>
      <c r="G105" s="67">
        <f>2400000+116000</f>
        <v>2516000</v>
      </c>
      <c r="H105" s="67">
        <f>86000</f>
        <v>86000</v>
      </c>
      <c r="I105" s="42">
        <f t="shared" si="15"/>
        <v>3.418124006359301</v>
      </c>
      <c r="J105" s="50">
        <f t="shared" si="16"/>
        <v>34.181240063593</v>
      </c>
      <c r="L105" s="73">
        <f t="shared" si="14"/>
        <v>-165600</v>
      </c>
      <c r="M105" s="71"/>
      <c r="N105" s="71"/>
      <c r="O105" s="71">
        <v>240000</v>
      </c>
      <c r="P105" s="71">
        <f>11600</f>
        <v>11600</v>
      </c>
      <c r="Q105" s="71"/>
      <c r="R105" s="71"/>
      <c r="S105" s="71"/>
      <c r="T105" s="71"/>
      <c r="U105" s="71"/>
      <c r="V105" s="71">
        <f>81200</f>
        <v>81200</v>
      </c>
      <c r="W105" s="71">
        <v>1080000</v>
      </c>
      <c r="X105" s="71">
        <f>1103200</f>
        <v>1103200</v>
      </c>
      <c r="Y105" s="22">
        <f t="shared" si="17"/>
        <v>2516000</v>
      </c>
      <c r="Z105" s="39">
        <f t="shared" si="13"/>
        <v>0</v>
      </c>
    </row>
    <row r="106" spans="1:26" ht="27" customHeight="1">
      <c r="A106" s="1"/>
      <c r="B106" s="20"/>
      <c r="C106" s="68" t="s">
        <v>143</v>
      </c>
      <c r="D106" s="69">
        <f t="shared" si="20"/>
        <v>2034000</v>
      </c>
      <c r="E106" s="70"/>
      <c r="F106" s="69">
        <f t="shared" si="21"/>
        <v>2034000</v>
      </c>
      <c r="G106" s="67">
        <v>2034000</v>
      </c>
      <c r="H106" s="67"/>
      <c r="I106" s="44">
        <f t="shared" si="15"/>
        <v>0</v>
      </c>
      <c r="J106" s="63">
        <f t="shared" si="16"/>
        <v>0</v>
      </c>
      <c r="L106" s="73">
        <f t="shared" si="14"/>
        <v>-203400</v>
      </c>
      <c r="M106" s="71"/>
      <c r="N106" s="71"/>
      <c r="O106" s="71">
        <v>203400</v>
      </c>
      <c r="P106" s="71"/>
      <c r="Q106" s="71"/>
      <c r="R106" s="71"/>
      <c r="S106" s="71"/>
      <c r="T106" s="71"/>
      <c r="U106" s="71"/>
      <c r="V106" s="71"/>
      <c r="W106" s="71">
        <v>915300</v>
      </c>
      <c r="X106" s="71">
        <v>915300</v>
      </c>
      <c r="Y106" s="22">
        <f t="shared" si="17"/>
        <v>2034000</v>
      </c>
      <c r="Z106" s="39">
        <f t="shared" si="13"/>
        <v>0</v>
      </c>
    </row>
    <row r="107" spans="1:26" ht="25.5" customHeight="1">
      <c r="A107" s="1"/>
      <c r="B107" s="20"/>
      <c r="C107" s="68" t="s">
        <v>144</v>
      </c>
      <c r="D107" s="69">
        <f t="shared" si="20"/>
        <v>3501000</v>
      </c>
      <c r="E107" s="70"/>
      <c r="F107" s="69">
        <f t="shared" si="21"/>
        <v>3501000</v>
      </c>
      <c r="G107" s="67">
        <f>2301000+1200000</f>
        <v>3501000</v>
      </c>
      <c r="H107" s="67">
        <f>1100000+1156000+18212.82</f>
        <v>2274212.82</v>
      </c>
      <c r="I107" s="42">
        <f t="shared" si="15"/>
        <v>64.95894944301628</v>
      </c>
      <c r="J107" s="50">
        <f t="shared" si="16"/>
        <v>64.95894944301628</v>
      </c>
      <c r="L107" s="73">
        <f t="shared" si="14"/>
        <v>-1226787.1800000002</v>
      </c>
      <c r="M107" s="71"/>
      <c r="N107" s="71"/>
      <c r="O107" s="71">
        <f>1100000</f>
        <v>1100000</v>
      </c>
      <c r="P107" s="71">
        <f>2401000</f>
        <v>2401000</v>
      </c>
      <c r="Q107" s="71"/>
      <c r="R107" s="71"/>
      <c r="S107" s="71"/>
      <c r="T107" s="71">
        <f>1100000-1100000</f>
        <v>0</v>
      </c>
      <c r="U107" s="71"/>
      <c r="V107" s="71"/>
      <c r="W107" s="71">
        <f>1201000-1201000</f>
        <v>0</v>
      </c>
      <c r="X107" s="71"/>
      <c r="Y107" s="22">
        <f t="shared" si="17"/>
        <v>3501000</v>
      </c>
      <c r="Z107" s="39">
        <f t="shared" si="13"/>
        <v>0</v>
      </c>
    </row>
    <row r="108" spans="1:26" ht="25.5" customHeight="1">
      <c r="A108" s="1"/>
      <c r="B108" s="20"/>
      <c r="C108" s="68" t="s">
        <v>184</v>
      </c>
      <c r="D108" s="69">
        <f t="shared" si="20"/>
        <v>1472000</v>
      </c>
      <c r="E108" s="70"/>
      <c r="F108" s="69">
        <f t="shared" si="21"/>
        <v>1472000</v>
      </c>
      <c r="G108" s="67">
        <f>767000+528000+177000</f>
        <v>1472000</v>
      </c>
      <c r="H108" s="67">
        <f>33000+26000</f>
        <v>59000</v>
      </c>
      <c r="I108" s="42">
        <f t="shared" si="15"/>
        <v>4.008152173913043</v>
      </c>
      <c r="J108" s="50">
        <f t="shared" si="16"/>
        <v>4.008152173913043</v>
      </c>
      <c r="L108" s="73">
        <f t="shared" si="14"/>
        <v>-1413000</v>
      </c>
      <c r="M108" s="71"/>
      <c r="N108" s="71"/>
      <c r="O108" s="71">
        <v>76700</v>
      </c>
      <c r="P108" s="71">
        <f>1395300</f>
        <v>1395300</v>
      </c>
      <c r="Q108" s="71"/>
      <c r="R108" s="71"/>
      <c r="S108" s="71"/>
      <c r="T108" s="71"/>
      <c r="U108" s="71"/>
      <c r="V108" s="71"/>
      <c r="W108" s="71"/>
      <c r="X108" s="71"/>
      <c r="Y108" s="22">
        <f t="shared" si="17"/>
        <v>1472000</v>
      </c>
      <c r="Z108" s="39">
        <f t="shared" si="13"/>
        <v>0</v>
      </c>
    </row>
    <row r="109" spans="1:26" ht="27" customHeight="1">
      <c r="A109" s="1"/>
      <c r="B109" s="20"/>
      <c r="C109" s="68" t="s">
        <v>145</v>
      </c>
      <c r="D109" s="69">
        <f t="shared" si="20"/>
        <v>367000</v>
      </c>
      <c r="E109" s="70"/>
      <c r="F109" s="69">
        <f t="shared" si="21"/>
        <v>367000</v>
      </c>
      <c r="G109" s="67">
        <v>367000</v>
      </c>
      <c r="H109" s="67">
        <f>67000+51000</f>
        <v>118000</v>
      </c>
      <c r="I109" s="42">
        <f t="shared" si="15"/>
        <v>32.15258855585831</v>
      </c>
      <c r="J109" s="50">
        <f t="shared" si="16"/>
        <v>100</v>
      </c>
      <c r="L109" s="73">
        <f t="shared" si="14"/>
        <v>0</v>
      </c>
      <c r="M109" s="71"/>
      <c r="N109" s="71"/>
      <c r="O109" s="71">
        <f>118000</f>
        <v>118000</v>
      </c>
      <c r="P109" s="71"/>
      <c r="Q109" s="71"/>
      <c r="R109" s="71"/>
      <c r="S109" s="71"/>
      <c r="T109" s="71"/>
      <c r="U109" s="71">
        <v>36700</v>
      </c>
      <c r="V109" s="71">
        <f>256900-118000</f>
        <v>138900</v>
      </c>
      <c r="W109" s="71"/>
      <c r="X109" s="71">
        <v>73400</v>
      </c>
      <c r="Y109" s="22">
        <f t="shared" si="17"/>
        <v>367000</v>
      </c>
      <c r="Z109" s="39">
        <f t="shared" si="13"/>
        <v>0</v>
      </c>
    </row>
    <row r="110" spans="1:26" ht="28.5" customHeight="1">
      <c r="A110" s="1"/>
      <c r="B110" s="20"/>
      <c r="C110" s="68" t="s">
        <v>146</v>
      </c>
      <c r="D110" s="69">
        <f t="shared" si="20"/>
        <v>837000</v>
      </c>
      <c r="E110" s="70"/>
      <c r="F110" s="69">
        <f t="shared" si="21"/>
        <v>837000</v>
      </c>
      <c r="G110" s="67">
        <f>770000+67000</f>
        <v>837000</v>
      </c>
      <c r="H110" s="67">
        <f>21000+23000</f>
        <v>44000</v>
      </c>
      <c r="I110" s="42">
        <f t="shared" si="15"/>
        <v>5.256869772998805</v>
      </c>
      <c r="J110" s="50">
        <f t="shared" si="16"/>
        <v>5.256869772998805</v>
      </c>
      <c r="L110" s="73">
        <f t="shared" si="14"/>
        <v>-793000</v>
      </c>
      <c r="M110" s="71"/>
      <c r="N110" s="71"/>
      <c r="O110" s="71">
        <f>44000</f>
        <v>44000</v>
      </c>
      <c r="P110" s="71">
        <f>793000</f>
        <v>793000</v>
      </c>
      <c r="Q110" s="71"/>
      <c r="R110" s="71"/>
      <c r="S110" s="71"/>
      <c r="T110" s="71"/>
      <c r="U110" s="71"/>
      <c r="V110" s="71"/>
      <c r="W110" s="71"/>
      <c r="X110" s="71"/>
      <c r="Y110" s="22">
        <f t="shared" si="17"/>
        <v>837000</v>
      </c>
      <c r="Z110" s="39">
        <f t="shared" si="13"/>
        <v>0</v>
      </c>
    </row>
    <row r="111" spans="1:26" ht="21.75" customHeight="1">
      <c r="A111" s="1"/>
      <c r="B111" s="20"/>
      <c r="C111" s="68" t="s">
        <v>147</v>
      </c>
      <c r="D111" s="69">
        <f t="shared" si="20"/>
        <v>300000</v>
      </c>
      <c r="E111" s="70"/>
      <c r="F111" s="69">
        <f t="shared" si="21"/>
        <v>300000</v>
      </c>
      <c r="G111" s="67">
        <f>767000-467000</f>
        <v>300000</v>
      </c>
      <c r="H111" s="67">
        <f>15000</f>
        <v>15000</v>
      </c>
      <c r="I111" s="42">
        <f t="shared" si="15"/>
        <v>5</v>
      </c>
      <c r="J111" s="50">
        <f t="shared" si="16"/>
        <v>5</v>
      </c>
      <c r="L111" s="73">
        <f t="shared" si="14"/>
        <v>-285000</v>
      </c>
      <c r="M111" s="71"/>
      <c r="N111" s="71"/>
      <c r="O111" s="71">
        <f>26000</f>
        <v>26000</v>
      </c>
      <c r="P111" s="71">
        <f>274000</f>
        <v>274000</v>
      </c>
      <c r="Q111" s="71"/>
      <c r="R111" s="71"/>
      <c r="S111" s="71"/>
      <c r="T111" s="71"/>
      <c r="U111" s="71"/>
      <c r="V111" s="71"/>
      <c r="W111" s="71"/>
      <c r="X111" s="71"/>
      <c r="Y111" s="22">
        <f t="shared" si="17"/>
        <v>300000</v>
      </c>
      <c r="Z111" s="39">
        <f t="shared" si="13"/>
        <v>0</v>
      </c>
    </row>
    <row r="112" spans="1:26" ht="41.25" customHeight="1">
      <c r="A112" s="1"/>
      <c r="B112" s="20"/>
      <c r="C112" s="56" t="s">
        <v>45</v>
      </c>
      <c r="D112" s="24">
        <f>E112+F112</f>
        <v>70000</v>
      </c>
      <c r="E112" s="26"/>
      <c r="F112" s="24">
        <v>70000</v>
      </c>
      <c r="G112" s="57">
        <f>F112</f>
        <v>70000</v>
      </c>
      <c r="H112" s="24"/>
      <c r="I112" s="44">
        <f t="shared" si="15"/>
        <v>0</v>
      </c>
      <c r="J112" s="63">
        <f t="shared" si="16"/>
        <v>0</v>
      </c>
      <c r="L112" s="73">
        <f t="shared" si="14"/>
        <v>-70000</v>
      </c>
      <c r="M112" s="71"/>
      <c r="N112" s="72">
        <v>70000</v>
      </c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22">
        <f t="shared" si="17"/>
        <v>70000</v>
      </c>
      <c r="Z112" s="39">
        <f t="shared" si="13"/>
        <v>0</v>
      </c>
    </row>
    <row r="113" spans="1:26" ht="38.25" customHeight="1">
      <c r="A113" s="1"/>
      <c r="B113" s="20"/>
      <c r="C113" s="68" t="s">
        <v>185</v>
      </c>
      <c r="D113" s="69">
        <f aca="true" t="shared" si="22" ref="D113:D137">G113</f>
        <v>918900</v>
      </c>
      <c r="E113" s="70"/>
      <c r="F113" s="69">
        <f aca="true" t="shared" si="23" ref="F113:F137">G113</f>
        <v>918900</v>
      </c>
      <c r="G113" s="67">
        <f>767000+151900</f>
        <v>918900</v>
      </c>
      <c r="H113" s="24"/>
      <c r="I113" s="44">
        <f t="shared" si="15"/>
        <v>0</v>
      </c>
      <c r="J113" s="63">
        <f t="shared" si="16"/>
        <v>0</v>
      </c>
      <c r="L113" s="73">
        <f t="shared" si="14"/>
        <v>-9653</v>
      </c>
      <c r="M113" s="71"/>
      <c r="N113" s="71"/>
      <c r="O113" s="71"/>
      <c r="P113" s="71">
        <f>9653</f>
        <v>9653</v>
      </c>
      <c r="Q113" s="71"/>
      <c r="R113" s="71"/>
      <c r="S113" s="71"/>
      <c r="T113" s="71">
        <v>76700</v>
      </c>
      <c r="U113" s="71">
        <f>67081</f>
        <v>67081</v>
      </c>
      <c r="V113" s="71">
        <v>536900</v>
      </c>
      <c r="W113" s="71">
        <f>75166</f>
        <v>75166</v>
      </c>
      <c r="X113" s="71">
        <v>153400</v>
      </c>
      <c r="Y113" s="22">
        <f t="shared" si="17"/>
        <v>918900</v>
      </c>
      <c r="Z113" s="39">
        <f t="shared" si="13"/>
        <v>0</v>
      </c>
    </row>
    <row r="114" spans="1:26" ht="21.75" customHeight="1">
      <c r="A114" s="1"/>
      <c r="B114" s="20"/>
      <c r="C114" s="68" t="s">
        <v>148</v>
      </c>
      <c r="D114" s="69">
        <f t="shared" si="22"/>
        <v>1473500</v>
      </c>
      <c r="E114" s="70"/>
      <c r="F114" s="69">
        <f t="shared" si="23"/>
        <v>1473500</v>
      </c>
      <c r="G114" s="67">
        <v>1473500</v>
      </c>
      <c r="H114" s="24"/>
      <c r="I114" s="44">
        <f t="shared" si="15"/>
        <v>0</v>
      </c>
      <c r="J114" s="63" t="e">
        <f t="shared" si="16"/>
        <v>#DIV/0!</v>
      </c>
      <c r="L114" s="73">
        <f t="shared" si="14"/>
        <v>0</v>
      </c>
      <c r="M114" s="71"/>
      <c r="N114" s="71"/>
      <c r="O114" s="71">
        <v>900000</v>
      </c>
      <c r="P114" s="71">
        <f>-900000</f>
        <v>-900000</v>
      </c>
      <c r="Q114" s="71"/>
      <c r="R114" s="71">
        <v>573500</v>
      </c>
      <c r="S114" s="71"/>
      <c r="T114" s="71"/>
      <c r="U114" s="71"/>
      <c r="V114" s="71"/>
      <c r="W114" s="71">
        <f>900000</f>
        <v>900000</v>
      </c>
      <c r="X114" s="71"/>
      <c r="Y114" s="22">
        <f t="shared" si="17"/>
        <v>1473500</v>
      </c>
      <c r="Z114" s="39">
        <f t="shared" si="13"/>
        <v>0</v>
      </c>
    </row>
    <row r="115" spans="1:26" ht="27.75" customHeight="1">
      <c r="A115" s="1"/>
      <c r="B115" s="20"/>
      <c r="C115" s="68" t="s">
        <v>149</v>
      </c>
      <c r="D115" s="69">
        <f t="shared" si="22"/>
        <v>4845598</v>
      </c>
      <c r="E115" s="70"/>
      <c r="F115" s="69">
        <f t="shared" si="23"/>
        <v>4845598</v>
      </c>
      <c r="G115" s="67">
        <f>4555598+290000</f>
        <v>4845598</v>
      </c>
      <c r="H115" s="67">
        <f>1339880+284982.79+729917+12975.28</f>
        <v>2367755.07</v>
      </c>
      <c r="I115" s="42">
        <f t="shared" si="15"/>
        <v>48.86404258050296</v>
      </c>
      <c r="J115" s="50">
        <f t="shared" si="16"/>
        <v>69.84528230088495</v>
      </c>
      <c r="L115" s="73">
        <f t="shared" si="14"/>
        <v>-1022244.9300000002</v>
      </c>
      <c r="M115" s="71"/>
      <c r="N115" s="71"/>
      <c r="O115" s="71">
        <v>2200000</v>
      </c>
      <c r="P115" s="71">
        <f>1190000</f>
        <v>1190000</v>
      </c>
      <c r="Q115" s="71"/>
      <c r="R115" s="71"/>
      <c r="S115" s="71"/>
      <c r="T115" s="71">
        <f>2355598-900000</f>
        <v>1455598</v>
      </c>
      <c r="U115" s="71"/>
      <c r="V115" s="71"/>
      <c r="W115" s="71"/>
      <c r="X115" s="71"/>
      <c r="Y115" s="22">
        <f t="shared" si="17"/>
        <v>4845598</v>
      </c>
      <c r="Z115" s="39">
        <f t="shared" si="13"/>
        <v>0</v>
      </c>
    </row>
    <row r="116" spans="1:26" ht="31.5" customHeight="1">
      <c r="A116" s="1"/>
      <c r="B116" s="20"/>
      <c r="C116" s="68" t="s">
        <v>150</v>
      </c>
      <c r="D116" s="69">
        <f t="shared" si="22"/>
        <v>5206455</v>
      </c>
      <c r="E116" s="70"/>
      <c r="F116" s="69">
        <f t="shared" si="23"/>
        <v>5206455</v>
      </c>
      <c r="G116" s="67">
        <v>5206455</v>
      </c>
      <c r="H116" s="67">
        <f>2533359</f>
        <v>2533359</v>
      </c>
      <c r="I116" s="42">
        <f t="shared" si="15"/>
        <v>48.65804083584704</v>
      </c>
      <c r="J116" s="50">
        <f t="shared" si="16"/>
        <v>48.65804083584704</v>
      </c>
      <c r="L116" s="73">
        <f t="shared" si="14"/>
        <v>-2673096</v>
      </c>
      <c r="M116" s="71"/>
      <c r="N116" s="71"/>
      <c r="O116" s="71">
        <v>2550000</v>
      </c>
      <c r="P116" s="71"/>
      <c r="Q116" s="71">
        <v>2656455</v>
      </c>
      <c r="R116" s="71"/>
      <c r="S116" s="71"/>
      <c r="T116" s="71"/>
      <c r="U116" s="71"/>
      <c r="V116" s="71"/>
      <c r="W116" s="71"/>
      <c r="X116" s="71"/>
      <c r="Y116" s="22">
        <f t="shared" si="17"/>
        <v>5206455</v>
      </c>
      <c r="Z116" s="39">
        <f t="shared" si="13"/>
        <v>0</v>
      </c>
    </row>
    <row r="117" spans="1:26" ht="33" customHeight="1">
      <c r="A117" s="1"/>
      <c r="B117" s="20"/>
      <c r="C117" s="68" t="s">
        <v>151</v>
      </c>
      <c r="D117" s="69">
        <f t="shared" si="22"/>
        <v>4678629</v>
      </c>
      <c r="E117" s="70"/>
      <c r="F117" s="69">
        <f t="shared" si="23"/>
        <v>4678629</v>
      </c>
      <c r="G117" s="67">
        <v>4678629</v>
      </c>
      <c r="H117" s="67"/>
      <c r="I117" s="44">
        <f t="shared" si="15"/>
        <v>0</v>
      </c>
      <c r="J117" s="63" t="e">
        <f t="shared" si="16"/>
        <v>#DIV/0!</v>
      </c>
      <c r="L117" s="73">
        <f t="shared" si="14"/>
        <v>0</v>
      </c>
      <c r="M117" s="71"/>
      <c r="N117" s="71"/>
      <c r="O117" s="71"/>
      <c r="P117" s="71"/>
      <c r="Q117" s="71"/>
      <c r="R117" s="71"/>
      <c r="S117" s="71">
        <v>1790000</v>
      </c>
      <c r="T117" s="71"/>
      <c r="U117" s="71">
        <v>250000</v>
      </c>
      <c r="V117" s="71">
        <v>2378629</v>
      </c>
      <c r="W117" s="71"/>
      <c r="X117" s="71">
        <v>260000</v>
      </c>
      <c r="Y117" s="22">
        <f t="shared" si="17"/>
        <v>4678629</v>
      </c>
      <c r="Z117" s="39">
        <f t="shared" si="13"/>
        <v>0</v>
      </c>
    </row>
    <row r="118" spans="1:26" ht="28.5" customHeight="1">
      <c r="A118" s="1"/>
      <c r="B118" s="20"/>
      <c r="C118" s="68" t="s">
        <v>186</v>
      </c>
      <c r="D118" s="69">
        <f t="shared" si="22"/>
        <v>443000</v>
      </c>
      <c r="E118" s="70"/>
      <c r="F118" s="69">
        <f t="shared" si="23"/>
        <v>443000</v>
      </c>
      <c r="G118" s="67">
        <f>367000+76000</f>
        <v>443000</v>
      </c>
      <c r="H118" s="67">
        <f>34000+24000</f>
        <v>58000</v>
      </c>
      <c r="I118" s="42">
        <f t="shared" si="15"/>
        <v>13.092550790067719</v>
      </c>
      <c r="J118" s="50">
        <f t="shared" si="16"/>
        <v>88.41463414634147</v>
      </c>
      <c r="L118" s="73">
        <f t="shared" si="14"/>
        <v>-7600</v>
      </c>
      <c r="M118" s="71"/>
      <c r="N118" s="71"/>
      <c r="O118" s="71">
        <f>58000</f>
        <v>58000</v>
      </c>
      <c r="P118" s="71">
        <f>7600</f>
        <v>7600</v>
      </c>
      <c r="Q118" s="71"/>
      <c r="R118" s="71"/>
      <c r="S118" s="71"/>
      <c r="T118" s="71"/>
      <c r="U118" s="71">
        <v>36700</v>
      </c>
      <c r="V118" s="71">
        <f>252100</f>
        <v>252100</v>
      </c>
      <c r="W118" s="71"/>
      <c r="X118" s="71">
        <f>88600</f>
        <v>88600</v>
      </c>
      <c r="Y118" s="22">
        <f t="shared" si="17"/>
        <v>443000</v>
      </c>
      <c r="Z118" s="39">
        <f t="shared" si="13"/>
        <v>0</v>
      </c>
    </row>
    <row r="119" spans="1:26" ht="28.5" customHeight="1">
      <c r="A119" s="1"/>
      <c r="B119" s="20"/>
      <c r="C119" s="68" t="s">
        <v>152</v>
      </c>
      <c r="D119" s="69">
        <f t="shared" si="22"/>
        <v>3829000</v>
      </c>
      <c r="E119" s="70"/>
      <c r="F119" s="69">
        <f t="shared" si="23"/>
        <v>3829000</v>
      </c>
      <c r="G119" s="67">
        <v>3829000</v>
      </c>
      <c r="H119" s="67"/>
      <c r="I119" s="44">
        <f t="shared" si="15"/>
        <v>0</v>
      </c>
      <c r="J119" s="63" t="e">
        <f t="shared" si="16"/>
        <v>#DIV/0!</v>
      </c>
      <c r="L119" s="73">
        <f t="shared" si="14"/>
        <v>0</v>
      </c>
      <c r="M119" s="71"/>
      <c r="N119" s="71"/>
      <c r="O119" s="71"/>
      <c r="P119" s="71"/>
      <c r="Q119" s="71"/>
      <c r="R119" s="71"/>
      <c r="S119" s="71">
        <v>1800000</v>
      </c>
      <c r="T119" s="71"/>
      <c r="U119" s="71"/>
      <c r="V119" s="71">
        <v>2029000</v>
      </c>
      <c r="W119" s="71"/>
      <c r="X119" s="71"/>
      <c r="Y119" s="22">
        <f t="shared" si="17"/>
        <v>3829000</v>
      </c>
      <c r="Z119" s="39">
        <f t="shared" si="13"/>
        <v>0</v>
      </c>
    </row>
    <row r="120" spans="1:26" ht="24" customHeight="1">
      <c r="A120" s="1"/>
      <c r="B120" s="20"/>
      <c r="C120" s="68" t="s">
        <v>153</v>
      </c>
      <c r="D120" s="69">
        <f t="shared" si="22"/>
        <v>3700000</v>
      </c>
      <c r="E120" s="70"/>
      <c r="F120" s="69">
        <f t="shared" si="23"/>
        <v>3700000</v>
      </c>
      <c r="G120" s="67">
        <v>3700000</v>
      </c>
      <c r="H120" s="67">
        <f>1800000</f>
        <v>1800000</v>
      </c>
      <c r="I120" s="42">
        <f t="shared" si="15"/>
        <v>48.64864864864865</v>
      </c>
      <c r="J120" s="50">
        <f t="shared" si="16"/>
        <v>100</v>
      </c>
      <c r="L120" s="73">
        <f t="shared" si="14"/>
        <v>0</v>
      </c>
      <c r="M120" s="71"/>
      <c r="N120" s="71"/>
      <c r="O120" s="71">
        <v>1800000</v>
      </c>
      <c r="P120" s="71"/>
      <c r="Q120" s="71"/>
      <c r="R120" s="71">
        <v>1900000</v>
      </c>
      <c r="S120" s="71"/>
      <c r="T120" s="71"/>
      <c r="U120" s="71"/>
      <c r="V120" s="71"/>
      <c r="W120" s="71"/>
      <c r="X120" s="71"/>
      <c r="Y120" s="22">
        <f t="shared" si="17"/>
        <v>3700000</v>
      </c>
      <c r="Z120" s="39">
        <f t="shared" si="13"/>
        <v>0</v>
      </c>
    </row>
    <row r="121" spans="1:26" ht="24" customHeight="1">
      <c r="A121" s="1"/>
      <c r="B121" s="20"/>
      <c r="C121" s="68" t="s">
        <v>154</v>
      </c>
      <c r="D121" s="69">
        <f t="shared" si="22"/>
        <v>400000</v>
      </c>
      <c r="E121" s="70"/>
      <c r="F121" s="69">
        <f t="shared" si="23"/>
        <v>400000</v>
      </c>
      <c r="G121" s="67">
        <v>400000</v>
      </c>
      <c r="H121" s="67">
        <f>173000</f>
        <v>173000</v>
      </c>
      <c r="I121" s="44">
        <f t="shared" si="15"/>
        <v>43.25</v>
      </c>
      <c r="J121" s="63">
        <f t="shared" si="16"/>
        <v>86.5</v>
      </c>
      <c r="L121" s="73">
        <f t="shared" si="14"/>
        <v>-27000</v>
      </c>
      <c r="M121" s="71"/>
      <c r="N121" s="71"/>
      <c r="O121" s="71">
        <v>200000</v>
      </c>
      <c r="P121" s="71"/>
      <c r="Q121" s="71"/>
      <c r="R121" s="71"/>
      <c r="S121" s="71"/>
      <c r="T121" s="71"/>
      <c r="U121" s="71">
        <v>200000</v>
      </c>
      <c r="V121" s="71"/>
      <c r="W121" s="71"/>
      <c r="X121" s="71"/>
      <c r="Y121" s="22">
        <f t="shared" si="17"/>
        <v>400000</v>
      </c>
      <c r="Z121" s="39">
        <f t="shared" si="13"/>
        <v>0</v>
      </c>
    </row>
    <row r="122" spans="1:26" ht="23.25" customHeight="1">
      <c r="A122" s="1"/>
      <c r="B122" s="20"/>
      <c r="C122" s="68" t="s">
        <v>155</v>
      </c>
      <c r="D122" s="69">
        <f t="shared" si="22"/>
        <v>117000</v>
      </c>
      <c r="E122" s="70"/>
      <c r="F122" s="69">
        <f t="shared" si="23"/>
        <v>117000</v>
      </c>
      <c r="G122" s="67">
        <v>117000</v>
      </c>
      <c r="H122" s="67"/>
      <c r="I122" s="44">
        <f t="shared" si="15"/>
        <v>0</v>
      </c>
      <c r="J122" s="63" t="e">
        <f t="shared" si="16"/>
        <v>#DIV/0!</v>
      </c>
      <c r="L122" s="73">
        <f t="shared" si="14"/>
        <v>0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>
        <v>117000</v>
      </c>
      <c r="W122" s="71"/>
      <c r="X122" s="71"/>
      <c r="Y122" s="22">
        <f t="shared" si="17"/>
        <v>117000</v>
      </c>
      <c r="Z122" s="39">
        <f t="shared" si="13"/>
        <v>0</v>
      </c>
    </row>
    <row r="123" spans="1:26" ht="25.5" customHeight="1">
      <c r="A123" s="1"/>
      <c r="B123" s="20"/>
      <c r="C123" s="68" t="s">
        <v>156</v>
      </c>
      <c r="D123" s="69">
        <f t="shared" si="22"/>
        <v>116000</v>
      </c>
      <c r="E123" s="70"/>
      <c r="F123" s="69">
        <f t="shared" si="23"/>
        <v>116000</v>
      </c>
      <c r="G123" s="67">
        <v>116000</v>
      </c>
      <c r="H123" s="67"/>
      <c r="I123" s="44">
        <f t="shared" si="15"/>
        <v>0</v>
      </c>
      <c r="J123" s="63" t="e">
        <f t="shared" si="16"/>
        <v>#DIV/0!</v>
      </c>
      <c r="L123" s="73">
        <f t="shared" si="14"/>
        <v>0</v>
      </c>
      <c r="M123" s="71"/>
      <c r="N123" s="71"/>
      <c r="O123" s="71"/>
      <c r="P123" s="71"/>
      <c r="Q123" s="71"/>
      <c r="R123" s="71"/>
      <c r="S123" s="71"/>
      <c r="T123" s="71"/>
      <c r="U123" s="71">
        <v>116000</v>
      </c>
      <c r="V123" s="71"/>
      <c r="W123" s="71"/>
      <c r="X123" s="71"/>
      <c r="Y123" s="22">
        <f t="shared" si="17"/>
        <v>116000</v>
      </c>
      <c r="Z123" s="39">
        <f t="shared" si="13"/>
        <v>0</v>
      </c>
    </row>
    <row r="124" spans="1:26" ht="28.5" customHeight="1">
      <c r="A124" s="1"/>
      <c r="B124" s="20"/>
      <c r="C124" s="68" t="s">
        <v>157</v>
      </c>
      <c r="D124" s="69">
        <f t="shared" si="22"/>
        <v>5981700</v>
      </c>
      <c r="E124" s="70"/>
      <c r="F124" s="69">
        <f t="shared" si="23"/>
        <v>5981700</v>
      </c>
      <c r="G124" s="67">
        <v>5981700</v>
      </c>
      <c r="H124" s="67">
        <f>2873000+2837862.43</f>
        <v>5710862.43</v>
      </c>
      <c r="I124" s="42">
        <f t="shared" si="15"/>
        <v>95.47223080395206</v>
      </c>
      <c r="J124" s="50">
        <f t="shared" si="16"/>
        <v>95.47223080395206</v>
      </c>
      <c r="L124" s="73">
        <f t="shared" si="14"/>
        <v>-270837.5700000003</v>
      </c>
      <c r="M124" s="71"/>
      <c r="N124" s="71"/>
      <c r="O124" s="71">
        <v>3290879</v>
      </c>
      <c r="P124" s="71">
        <f>860036+1603380.33</f>
        <v>2463416.33</v>
      </c>
      <c r="Q124" s="71">
        <f>506858-279453.33</f>
        <v>227404.66999999998</v>
      </c>
      <c r="R124" s="71">
        <f>600000-600000</f>
        <v>0</v>
      </c>
      <c r="S124" s="71">
        <f>600000-600000</f>
        <v>0</v>
      </c>
      <c r="T124" s="71">
        <f>123927-123927</f>
        <v>0</v>
      </c>
      <c r="U124" s="71"/>
      <c r="V124" s="71"/>
      <c r="W124" s="71"/>
      <c r="X124" s="71"/>
      <c r="Y124" s="22">
        <f t="shared" si="17"/>
        <v>5981700</v>
      </c>
      <c r="Z124" s="39">
        <f t="shared" si="13"/>
        <v>0</v>
      </c>
    </row>
    <row r="125" spans="1:26" ht="26.25" customHeight="1">
      <c r="A125" s="1"/>
      <c r="B125" s="20"/>
      <c r="C125" s="68" t="s">
        <v>158</v>
      </c>
      <c r="D125" s="69">
        <f t="shared" si="22"/>
        <v>935000</v>
      </c>
      <c r="E125" s="70"/>
      <c r="F125" s="69">
        <f t="shared" si="23"/>
        <v>935000</v>
      </c>
      <c r="G125" s="67">
        <v>935000</v>
      </c>
      <c r="H125" s="67" t="s">
        <v>172</v>
      </c>
      <c r="I125" s="44" t="e">
        <f t="shared" si="15"/>
        <v>#VALUE!</v>
      </c>
      <c r="J125" s="63" t="e">
        <f t="shared" si="16"/>
        <v>#VALUE!</v>
      </c>
      <c r="L125" s="73" t="e">
        <f t="shared" si="14"/>
        <v>#VALUE!</v>
      </c>
      <c r="M125" s="71"/>
      <c r="N125" s="71"/>
      <c r="O125" s="71">
        <v>47500</v>
      </c>
      <c r="P125" s="71"/>
      <c r="Q125" s="71"/>
      <c r="R125" s="71"/>
      <c r="S125" s="71">
        <v>466750</v>
      </c>
      <c r="T125" s="71"/>
      <c r="U125" s="71">
        <v>420750</v>
      </c>
      <c r="V125" s="71"/>
      <c r="W125" s="71"/>
      <c r="X125" s="71"/>
      <c r="Y125" s="22">
        <f t="shared" si="17"/>
        <v>935000</v>
      </c>
      <c r="Z125" s="39">
        <f t="shared" si="13"/>
        <v>0</v>
      </c>
    </row>
    <row r="126" spans="1:26" ht="26.25" customHeight="1">
      <c r="A126" s="1"/>
      <c r="B126" s="20"/>
      <c r="C126" s="68" t="s">
        <v>159</v>
      </c>
      <c r="D126" s="69">
        <f t="shared" si="22"/>
        <v>1460000</v>
      </c>
      <c r="E126" s="70"/>
      <c r="F126" s="69">
        <f t="shared" si="23"/>
        <v>1460000</v>
      </c>
      <c r="G126" s="67">
        <v>1460000</v>
      </c>
      <c r="H126" s="67">
        <f>29000</f>
        <v>29000</v>
      </c>
      <c r="I126" s="42">
        <f t="shared" si="15"/>
        <v>1.9863013698630139</v>
      </c>
      <c r="J126" s="50">
        <f t="shared" si="16"/>
        <v>39.726027397260275</v>
      </c>
      <c r="L126" s="73">
        <f t="shared" si="14"/>
        <v>-44000</v>
      </c>
      <c r="M126" s="71"/>
      <c r="N126" s="71"/>
      <c r="O126" s="71">
        <v>73000</v>
      </c>
      <c r="P126" s="71"/>
      <c r="Q126" s="71"/>
      <c r="R126" s="71"/>
      <c r="S126" s="71">
        <v>730000</v>
      </c>
      <c r="T126" s="71"/>
      <c r="U126" s="71">
        <v>657000</v>
      </c>
      <c r="V126" s="71"/>
      <c r="W126" s="71"/>
      <c r="X126" s="71"/>
      <c r="Y126" s="22">
        <f t="shared" si="17"/>
        <v>1460000</v>
      </c>
      <c r="Z126" s="39">
        <f t="shared" si="13"/>
        <v>0</v>
      </c>
    </row>
    <row r="127" spans="1:26" ht="26.25" customHeight="1">
      <c r="A127" s="1"/>
      <c r="B127" s="20"/>
      <c r="C127" s="68" t="s">
        <v>160</v>
      </c>
      <c r="D127" s="69">
        <f t="shared" si="22"/>
        <v>1534000</v>
      </c>
      <c r="E127" s="70"/>
      <c r="F127" s="69">
        <f t="shared" si="23"/>
        <v>1534000</v>
      </c>
      <c r="G127" s="67">
        <v>1534000</v>
      </c>
      <c r="H127" s="67">
        <f>81000</f>
        <v>81000</v>
      </c>
      <c r="I127" s="42">
        <f t="shared" si="15"/>
        <v>5.280312907431552</v>
      </c>
      <c r="J127" s="50">
        <f t="shared" si="16"/>
        <v>57.85714285714286</v>
      </c>
      <c r="L127" s="73">
        <f t="shared" si="14"/>
        <v>-59000</v>
      </c>
      <c r="M127" s="71"/>
      <c r="N127" s="71"/>
      <c r="O127" s="71">
        <f>72400+67600</f>
        <v>140000</v>
      </c>
      <c r="P127" s="71"/>
      <c r="Q127" s="71"/>
      <c r="R127" s="71"/>
      <c r="S127" s="71">
        <f>771300-67600</f>
        <v>703700</v>
      </c>
      <c r="T127" s="71"/>
      <c r="U127" s="71">
        <v>690300</v>
      </c>
      <c r="V127" s="71"/>
      <c r="W127" s="71"/>
      <c r="X127" s="71"/>
      <c r="Y127" s="22">
        <f t="shared" si="17"/>
        <v>1534000</v>
      </c>
      <c r="Z127" s="39">
        <f t="shared" si="13"/>
        <v>0</v>
      </c>
    </row>
    <row r="128" spans="1:26" ht="26.25" customHeight="1">
      <c r="A128" s="1"/>
      <c r="B128" s="20"/>
      <c r="C128" s="68" t="s">
        <v>161</v>
      </c>
      <c r="D128" s="69">
        <f t="shared" si="22"/>
        <v>11585000</v>
      </c>
      <c r="E128" s="70"/>
      <c r="F128" s="69">
        <f t="shared" si="23"/>
        <v>11585000</v>
      </c>
      <c r="G128" s="67">
        <f>12352000-767000</f>
        <v>11585000</v>
      </c>
      <c r="H128" s="67">
        <f>159000+364000+191373.72</f>
        <v>714373.72</v>
      </c>
      <c r="I128" s="42">
        <f t="shared" si="15"/>
        <v>6.1663678895123</v>
      </c>
      <c r="J128" s="50">
        <f t="shared" si="16"/>
        <v>39.234639353725036</v>
      </c>
      <c r="L128" s="73">
        <f t="shared" si="14"/>
        <v>-1106399.28</v>
      </c>
      <c r="M128" s="71"/>
      <c r="N128" s="71"/>
      <c r="O128" s="71">
        <f>4423300-3920000+3920000-105000-1100000-313600</f>
        <v>2904700</v>
      </c>
      <c r="P128" s="71">
        <f>-1363380.33</f>
        <v>-1363380.33</v>
      </c>
      <c r="Q128" s="71">
        <f>279453.33</f>
        <v>279453.33</v>
      </c>
      <c r="R128" s="71">
        <f>600000</f>
        <v>600000</v>
      </c>
      <c r="S128" s="71">
        <f>419862+105000+67600+360000</f>
        <v>952462</v>
      </c>
      <c r="T128" s="71">
        <f>2618790+1100000+123927</f>
        <v>3842717</v>
      </c>
      <c r="U128" s="71">
        <v>199004</v>
      </c>
      <c r="V128" s="71">
        <f>28348+246000</f>
        <v>274348</v>
      </c>
      <c r="W128" s="71">
        <f>1472356+3920000-3920000</f>
        <v>1472356</v>
      </c>
      <c r="X128" s="71">
        <v>2423340</v>
      </c>
      <c r="Y128" s="22">
        <f t="shared" si="17"/>
        <v>11585000</v>
      </c>
      <c r="Z128" s="39">
        <f t="shared" si="13"/>
        <v>0</v>
      </c>
    </row>
    <row r="129" spans="1:26" ht="26.25" customHeight="1">
      <c r="A129" s="1"/>
      <c r="B129" s="20"/>
      <c r="C129" s="68" t="s">
        <v>162</v>
      </c>
      <c r="D129" s="69">
        <f t="shared" si="22"/>
        <v>3200000</v>
      </c>
      <c r="E129" s="70"/>
      <c r="F129" s="69">
        <f t="shared" si="23"/>
        <v>3200000</v>
      </c>
      <c r="G129" s="67">
        <f>700000+2500000</f>
        <v>3200000</v>
      </c>
      <c r="H129" s="67">
        <f>178841+107000+461139</f>
        <v>746980</v>
      </c>
      <c r="I129" s="42">
        <f t="shared" si="15"/>
        <v>23.343125</v>
      </c>
      <c r="J129" s="50">
        <f t="shared" si="16"/>
        <v>51.51586206896551</v>
      </c>
      <c r="L129" s="73">
        <f t="shared" si="14"/>
        <v>-703020</v>
      </c>
      <c r="M129" s="71"/>
      <c r="N129" s="71"/>
      <c r="O129" s="71">
        <v>1700000</v>
      </c>
      <c r="P129" s="71">
        <f>400000-1000000</f>
        <v>-600000</v>
      </c>
      <c r="Q129" s="71">
        <f>350000</f>
        <v>350000</v>
      </c>
      <c r="R129" s="71">
        <v>400000</v>
      </c>
      <c r="S129" s="71">
        <f>350000+240000</f>
        <v>590000</v>
      </c>
      <c r="T129" s="71"/>
      <c r="U129" s="71">
        <f>760000</f>
        <v>760000</v>
      </c>
      <c r="V129" s="71"/>
      <c r="W129" s="71"/>
      <c r="X129" s="71"/>
      <c r="Y129" s="22">
        <f t="shared" si="17"/>
        <v>3200000</v>
      </c>
      <c r="Z129" s="39">
        <f t="shared" si="13"/>
        <v>0</v>
      </c>
    </row>
    <row r="130" spans="1:26" ht="26.25" customHeight="1">
      <c r="A130" s="1"/>
      <c r="B130" s="20"/>
      <c r="C130" s="68" t="s">
        <v>163</v>
      </c>
      <c r="D130" s="69">
        <f t="shared" si="22"/>
        <v>33000</v>
      </c>
      <c r="E130" s="70"/>
      <c r="F130" s="69">
        <f t="shared" si="23"/>
        <v>33000</v>
      </c>
      <c r="G130" s="67">
        <v>33000</v>
      </c>
      <c r="H130" s="67"/>
      <c r="I130" s="44">
        <f t="shared" si="15"/>
        <v>0</v>
      </c>
      <c r="J130" s="63">
        <f t="shared" si="16"/>
        <v>0</v>
      </c>
      <c r="L130" s="73">
        <f t="shared" si="14"/>
        <v>-33000</v>
      </c>
      <c r="M130" s="71"/>
      <c r="N130" s="71"/>
      <c r="O130" s="71">
        <v>33000</v>
      </c>
      <c r="P130" s="71"/>
      <c r="Q130" s="71"/>
      <c r="R130" s="71"/>
      <c r="S130" s="71"/>
      <c r="T130" s="71"/>
      <c r="U130" s="71"/>
      <c r="V130" s="71"/>
      <c r="W130" s="71"/>
      <c r="X130" s="71"/>
      <c r="Y130" s="22">
        <f t="shared" si="17"/>
        <v>33000</v>
      </c>
      <c r="Z130" s="39">
        <f t="shared" si="13"/>
        <v>0</v>
      </c>
    </row>
    <row r="131" spans="1:26" ht="26.25" customHeight="1">
      <c r="A131" s="1"/>
      <c r="B131" s="20"/>
      <c r="C131" s="68" t="s">
        <v>164</v>
      </c>
      <c r="D131" s="69">
        <f t="shared" si="22"/>
        <v>116000</v>
      </c>
      <c r="E131" s="70"/>
      <c r="F131" s="69">
        <f t="shared" si="23"/>
        <v>116000</v>
      </c>
      <c r="G131" s="67">
        <v>116000</v>
      </c>
      <c r="H131" s="24"/>
      <c r="I131" s="44">
        <f t="shared" si="15"/>
        <v>0</v>
      </c>
      <c r="J131" s="63" t="e">
        <f t="shared" si="16"/>
        <v>#DIV/0!</v>
      </c>
      <c r="L131" s="73">
        <f t="shared" si="14"/>
        <v>0</v>
      </c>
      <c r="M131" s="71"/>
      <c r="N131" s="71"/>
      <c r="O131" s="71"/>
      <c r="P131" s="71"/>
      <c r="Q131" s="71"/>
      <c r="R131" s="71"/>
      <c r="S131" s="71"/>
      <c r="T131" s="71"/>
      <c r="U131" s="71">
        <v>116000</v>
      </c>
      <c r="V131" s="71"/>
      <c r="W131" s="71"/>
      <c r="X131" s="71"/>
      <c r="Y131" s="22">
        <f t="shared" si="17"/>
        <v>116000</v>
      </c>
      <c r="Z131" s="39">
        <f t="shared" si="13"/>
        <v>0</v>
      </c>
    </row>
    <row r="132" spans="1:26" ht="26.25" customHeight="1">
      <c r="A132" s="1"/>
      <c r="B132" s="20"/>
      <c r="C132" s="68" t="s">
        <v>165</v>
      </c>
      <c r="D132" s="69">
        <f>G132</f>
        <v>750000</v>
      </c>
      <c r="E132" s="70"/>
      <c r="F132" s="69">
        <f>G132</f>
        <v>750000</v>
      </c>
      <c r="G132" s="67">
        <v>750000</v>
      </c>
      <c r="H132" s="24"/>
      <c r="I132" s="44">
        <f t="shared" si="15"/>
        <v>0</v>
      </c>
      <c r="J132" s="63" t="e">
        <f t="shared" si="16"/>
        <v>#DIV/0!</v>
      </c>
      <c r="L132" s="73">
        <f t="shared" si="14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750000</v>
      </c>
      <c r="V132" s="71"/>
      <c r="W132" s="71"/>
      <c r="X132" s="71"/>
      <c r="Y132" s="22">
        <f t="shared" si="17"/>
        <v>750000</v>
      </c>
      <c r="Z132" s="39">
        <f t="shared" si="13"/>
        <v>0</v>
      </c>
    </row>
    <row r="133" spans="1:26" ht="26.25" customHeight="1">
      <c r="A133" s="1"/>
      <c r="B133" s="20"/>
      <c r="C133" s="68" t="s">
        <v>170</v>
      </c>
      <c r="D133" s="69">
        <f>G133</f>
        <v>446000</v>
      </c>
      <c r="E133" s="70"/>
      <c r="F133" s="69">
        <f>G133</f>
        <v>446000</v>
      </c>
      <c r="G133" s="67">
        <v>446000</v>
      </c>
      <c r="H133" s="24"/>
      <c r="I133" s="44">
        <f t="shared" si="15"/>
        <v>0</v>
      </c>
      <c r="J133" s="63" t="e">
        <f t="shared" si="16"/>
        <v>#DIV/0!</v>
      </c>
      <c r="L133" s="73">
        <f t="shared" si="14"/>
        <v>0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>
        <v>100000</v>
      </c>
      <c r="X133" s="71">
        <v>346000</v>
      </c>
      <c r="Y133" s="22">
        <f t="shared" si="17"/>
        <v>446000</v>
      </c>
      <c r="Z133" s="39">
        <f t="shared" si="13"/>
        <v>0</v>
      </c>
    </row>
    <row r="134" spans="1:26" ht="26.25" customHeight="1">
      <c r="A134" s="1"/>
      <c r="B134" s="20"/>
      <c r="C134" s="68" t="s">
        <v>171</v>
      </c>
      <c r="D134" s="69">
        <f>G134</f>
        <v>1440000</v>
      </c>
      <c r="E134" s="70"/>
      <c r="F134" s="69">
        <f>G134</f>
        <v>1440000</v>
      </c>
      <c r="G134" s="67">
        <v>1440000</v>
      </c>
      <c r="H134" s="24"/>
      <c r="I134" s="44">
        <f t="shared" si="15"/>
        <v>0</v>
      </c>
      <c r="J134" s="63" t="e">
        <f t="shared" si="16"/>
        <v>#DIV/0!</v>
      </c>
      <c r="L134" s="73">
        <f t="shared" si="14"/>
        <v>0</v>
      </c>
      <c r="M134" s="71"/>
      <c r="N134" s="71"/>
      <c r="O134" s="71"/>
      <c r="P134" s="71"/>
      <c r="Q134" s="71"/>
      <c r="R134" s="71"/>
      <c r="S134" s="71">
        <v>144000</v>
      </c>
      <c r="T134" s="71">
        <v>1008000</v>
      </c>
      <c r="U134" s="71"/>
      <c r="V134" s="71">
        <v>288000</v>
      </c>
      <c r="W134" s="71"/>
      <c r="X134" s="71"/>
      <c r="Y134" s="22">
        <f t="shared" si="17"/>
        <v>1440000</v>
      </c>
      <c r="Z134" s="39">
        <f t="shared" si="13"/>
        <v>0</v>
      </c>
    </row>
    <row r="135" spans="1:26" ht="26.25" customHeight="1">
      <c r="A135" s="1"/>
      <c r="B135" s="20"/>
      <c r="C135" s="68" t="s">
        <v>166</v>
      </c>
      <c r="D135" s="69">
        <f t="shared" si="22"/>
        <v>722000</v>
      </c>
      <c r="E135" s="70"/>
      <c r="F135" s="69">
        <f t="shared" si="23"/>
        <v>722000</v>
      </c>
      <c r="G135" s="67">
        <v>722000</v>
      </c>
      <c r="H135" s="24">
        <f>283637+170080</f>
        <v>453717</v>
      </c>
      <c r="I135" s="42">
        <f t="shared" si="15"/>
        <v>62.84168975069252</v>
      </c>
      <c r="J135" s="50">
        <f t="shared" si="16"/>
        <v>97.36416309012876</v>
      </c>
      <c r="L135" s="73">
        <f t="shared" si="14"/>
        <v>-12283</v>
      </c>
      <c r="M135" s="71"/>
      <c r="N135" s="71"/>
      <c r="O135" s="71">
        <f>361000+105000</f>
        <v>466000</v>
      </c>
      <c r="P135" s="71"/>
      <c r="Q135" s="71"/>
      <c r="R135" s="71">
        <v>26500</v>
      </c>
      <c r="S135" s="71">
        <f>334500-105000</f>
        <v>229500</v>
      </c>
      <c r="T135" s="71"/>
      <c r="U135" s="71"/>
      <c r="V135" s="71"/>
      <c r="W135" s="71"/>
      <c r="X135" s="71"/>
      <c r="Y135" s="22">
        <f t="shared" si="17"/>
        <v>722000</v>
      </c>
      <c r="Z135" s="39">
        <f t="shared" si="13"/>
        <v>0</v>
      </c>
    </row>
    <row r="136" spans="1:26" ht="26.25" customHeight="1">
      <c r="A136" s="1"/>
      <c r="B136" s="20"/>
      <c r="C136" s="68" t="s">
        <v>167</v>
      </c>
      <c r="D136" s="69">
        <f t="shared" si="22"/>
        <v>72500</v>
      </c>
      <c r="E136" s="70"/>
      <c r="F136" s="69">
        <f t="shared" si="23"/>
        <v>72500</v>
      </c>
      <c r="G136" s="67">
        <v>72500</v>
      </c>
      <c r="H136" s="24"/>
      <c r="I136" s="44">
        <f t="shared" si="15"/>
        <v>0</v>
      </c>
      <c r="J136" s="63">
        <f t="shared" si="16"/>
        <v>0</v>
      </c>
      <c r="L136" s="73">
        <f t="shared" si="14"/>
        <v>-72500</v>
      </c>
      <c r="M136" s="71"/>
      <c r="N136" s="71"/>
      <c r="O136" s="71">
        <v>72500</v>
      </c>
      <c r="P136" s="71"/>
      <c r="Q136" s="71"/>
      <c r="R136" s="71"/>
      <c r="S136" s="71"/>
      <c r="T136" s="71"/>
      <c r="U136" s="71"/>
      <c r="V136" s="71"/>
      <c r="W136" s="71"/>
      <c r="X136" s="71"/>
      <c r="Y136" s="22">
        <f t="shared" si="17"/>
        <v>72500</v>
      </c>
      <c r="Z136" s="39">
        <f t="shared" si="13"/>
        <v>0</v>
      </c>
    </row>
    <row r="137" spans="1:26" ht="26.25" customHeight="1">
      <c r="A137" s="1"/>
      <c r="B137" s="20"/>
      <c r="C137" s="68" t="s">
        <v>168</v>
      </c>
      <c r="D137" s="69">
        <f t="shared" si="22"/>
        <v>714000</v>
      </c>
      <c r="E137" s="70"/>
      <c r="F137" s="69">
        <f t="shared" si="23"/>
        <v>714000</v>
      </c>
      <c r="G137" s="67">
        <f>357000+357000</f>
        <v>714000</v>
      </c>
      <c r="H137" s="24"/>
      <c r="I137" s="44">
        <f t="shared" si="15"/>
        <v>0</v>
      </c>
      <c r="J137" s="63">
        <f t="shared" si="16"/>
        <v>0</v>
      </c>
      <c r="L137" s="73">
        <f t="shared" si="14"/>
        <v>-35700</v>
      </c>
      <c r="M137" s="71"/>
      <c r="N137" s="71"/>
      <c r="O137" s="71"/>
      <c r="P137" s="71">
        <f>35700</f>
        <v>35700</v>
      </c>
      <c r="Q137" s="71"/>
      <c r="R137" s="71"/>
      <c r="S137" s="71"/>
      <c r="T137" s="71"/>
      <c r="U137" s="71">
        <v>357000</v>
      </c>
      <c r="V137" s="71">
        <f>249900</f>
        <v>249900</v>
      </c>
      <c r="W137" s="71"/>
      <c r="X137" s="71">
        <f>71400</f>
        <v>71400</v>
      </c>
      <c r="Y137" s="22">
        <f t="shared" si="17"/>
        <v>714000</v>
      </c>
      <c r="Z137" s="39">
        <f t="shared" si="13"/>
        <v>0</v>
      </c>
    </row>
    <row r="138" spans="1:26" ht="36" customHeight="1">
      <c r="A138" s="89" t="s">
        <v>48</v>
      </c>
      <c r="B138" s="89"/>
      <c r="C138" s="89"/>
      <c r="D138" s="89"/>
      <c r="E138" s="89"/>
      <c r="F138" s="89"/>
      <c r="G138" s="89"/>
      <c r="H138" s="89"/>
      <c r="I138" s="89"/>
      <c r="J138" s="89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22"/>
      <c r="Z138" s="39">
        <f>Y138-D138</f>
        <v>0</v>
      </c>
    </row>
    <row r="139" spans="1:26" ht="18.75">
      <c r="A139" s="16">
        <v>2</v>
      </c>
      <c r="B139" s="17"/>
      <c r="C139" s="18" t="s">
        <v>25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39798770.46</v>
      </c>
      <c r="I139" s="40">
        <f>H139/D139*100</f>
        <v>28.14583277464251</v>
      </c>
      <c r="J139" s="40">
        <f>H139/(N139+O139+P139+Q139)*100</f>
        <v>80.01249123641645</v>
      </c>
      <c r="K139" s="37"/>
      <c r="L139" s="73">
        <f>H139-(M139+N139+O139+P139+Q139)</f>
        <v>-9941926.079999998</v>
      </c>
      <c r="M139" s="47">
        <f>SUM(M140:M171)</f>
        <v>0</v>
      </c>
      <c r="N139" s="47">
        <f aca="true" t="shared" si="24" ref="N139:X139">SUM(N140:N171)</f>
        <v>1600000</v>
      </c>
      <c r="O139" s="47">
        <f t="shared" si="24"/>
        <v>28719871.54</v>
      </c>
      <c r="P139" s="47">
        <f t="shared" si="24"/>
        <v>16291625</v>
      </c>
      <c r="Q139" s="47">
        <f t="shared" si="24"/>
        <v>3129200</v>
      </c>
      <c r="R139" s="47">
        <f t="shared" si="24"/>
        <v>2379528.46</v>
      </c>
      <c r="S139" s="47">
        <f t="shared" si="24"/>
        <v>17127595</v>
      </c>
      <c r="T139" s="47">
        <f t="shared" si="24"/>
        <v>19129605</v>
      </c>
      <c r="U139" s="47">
        <f t="shared" si="24"/>
        <v>10939435</v>
      </c>
      <c r="V139" s="47">
        <f t="shared" si="24"/>
        <v>11272700</v>
      </c>
      <c r="W139" s="47">
        <f t="shared" si="24"/>
        <v>16342240</v>
      </c>
      <c r="X139" s="47">
        <f t="shared" si="24"/>
        <v>14470200</v>
      </c>
      <c r="Y139" s="47">
        <f>SUM(Y140:Y171)</f>
        <v>141402000</v>
      </c>
      <c r="Z139" s="39">
        <f>Y139-D139</f>
        <v>0</v>
      </c>
    </row>
    <row r="140" spans="1:25" ht="21" customHeight="1">
      <c r="A140" s="58"/>
      <c r="B140" s="58"/>
      <c r="C140" s="21" t="s">
        <v>43</v>
      </c>
      <c r="D140" s="59">
        <f>SUM(D141:D171)</f>
        <v>141402000</v>
      </c>
      <c r="E140" s="59"/>
      <c r="F140" s="59">
        <f>SUM(F141:F171)</f>
        <v>141402000</v>
      </c>
      <c r="G140" s="59">
        <f>SUM(G141:G171)</f>
        <v>141402000</v>
      </c>
      <c r="H140" s="59">
        <f>SUM(H141:H171)</f>
        <v>39798770.46</v>
      </c>
      <c r="I140" s="60">
        <f>H140/D140*100</f>
        <v>28.14583277464251</v>
      </c>
      <c r="J140" s="74">
        <f>H140/(N139+O139+P139+Q139)*100</f>
        <v>80.01249123641645</v>
      </c>
      <c r="L140" s="73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22"/>
    </row>
    <row r="141" spans="1:26" ht="37.5" customHeight="1">
      <c r="A141" s="58"/>
      <c r="B141" s="58"/>
      <c r="C141" s="23" t="s">
        <v>187</v>
      </c>
      <c r="D141" s="62">
        <f>F141</f>
        <v>5000</v>
      </c>
      <c r="E141" s="59"/>
      <c r="F141" s="62">
        <f>G141</f>
        <v>5000</v>
      </c>
      <c r="G141" s="62">
        <v>5000</v>
      </c>
      <c r="H141" s="59"/>
      <c r="I141" s="60"/>
      <c r="J141" s="63" t="e">
        <f aca="true" t="shared" si="25" ref="J141:J171">H141/(N141+O141+P141+Q141)*100</f>
        <v>#DIV/0!</v>
      </c>
      <c r="L141" s="73">
        <f aca="true" t="shared" si="26" ref="L141:L172">H141-(M141+N141+O141+P141+Q141)</f>
        <v>0</v>
      </c>
      <c r="M141" s="55"/>
      <c r="N141" s="55"/>
      <c r="O141" s="55"/>
      <c r="P141" s="55"/>
      <c r="Q141" s="55"/>
      <c r="R141" s="55"/>
      <c r="S141" s="55"/>
      <c r="T141" s="55">
        <v>5000</v>
      </c>
      <c r="U141" s="55"/>
      <c r="V141" s="55"/>
      <c r="W141" s="55"/>
      <c r="X141" s="55"/>
      <c r="Y141" s="22">
        <f>SUM(M141:X141)</f>
        <v>5000</v>
      </c>
      <c r="Z141" s="39">
        <f>Y141-D141</f>
        <v>0</v>
      </c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 t="shared" si="25"/>
        <v>#DIV/0!</v>
      </c>
      <c r="L142" s="73">
        <f t="shared" si="26"/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7" ref="D143:D171">F143</f>
        <v>11000000</v>
      </c>
      <c r="E143" s="26"/>
      <c r="F143" s="62">
        <f aca="true" t="shared" si="28" ref="F143:F171">G143</f>
        <v>11000000</v>
      </c>
      <c r="G143" s="62">
        <v>11000000</v>
      </c>
      <c r="H143" s="24"/>
      <c r="I143" s="42"/>
      <c r="J143" s="63" t="e">
        <f t="shared" si="25"/>
        <v>#DIV/0!</v>
      </c>
      <c r="L143" s="73">
        <f t="shared" si="26"/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1">SUM(M143:X143)</f>
        <v>11000000</v>
      </c>
      <c r="Z143" s="39">
        <f aca="true" t="shared" si="30" ref="Z143:Z171">Y143-D143</f>
        <v>0</v>
      </c>
    </row>
    <row r="144" spans="1:26" ht="28.5" customHeight="1">
      <c r="A144" s="1"/>
      <c r="B144" s="20"/>
      <c r="C144" s="61" t="s">
        <v>51</v>
      </c>
      <c r="D144" s="62">
        <f t="shared" si="27"/>
        <v>1000000</v>
      </c>
      <c r="E144" s="26"/>
      <c r="F144" s="62">
        <f t="shared" si="28"/>
        <v>1000000</v>
      </c>
      <c r="G144" s="62">
        <v>1000000</v>
      </c>
      <c r="H144" s="24"/>
      <c r="I144" s="42"/>
      <c r="J144" s="63" t="e">
        <f t="shared" si="25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/>
      <c r="U144" s="55">
        <v>500000</v>
      </c>
      <c r="V144" s="55"/>
      <c r="W144" s="55"/>
      <c r="X144" s="55">
        <v>500000</v>
      </c>
      <c r="Y144" s="22">
        <f t="shared" si="29"/>
        <v>1000000</v>
      </c>
      <c r="Z144" s="39">
        <f t="shared" si="30"/>
        <v>0</v>
      </c>
    </row>
    <row r="145" spans="1:26" ht="24.75" customHeight="1">
      <c r="A145" s="1"/>
      <c r="B145" s="20"/>
      <c r="C145" s="61" t="s">
        <v>52</v>
      </c>
      <c r="D145" s="62">
        <f t="shared" si="27"/>
        <v>500000</v>
      </c>
      <c r="E145" s="26"/>
      <c r="F145" s="62">
        <f t="shared" si="28"/>
        <v>500000</v>
      </c>
      <c r="G145" s="62">
        <v>500000</v>
      </c>
      <c r="H145" s="24"/>
      <c r="I145" s="42"/>
      <c r="J145" s="63" t="e">
        <f t="shared" si="25"/>
        <v>#DIV/0!</v>
      </c>
      <c r="L145" s="73">
        <f t="shared" si="26"/>
        <v>0</v>
      </c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>
        <v>250000</v>
      </c>
      <c r="X145" s="55">
        <v>250000</v>
      </c>
      <c r="Y145" s="22">
        <f t="shared" si="29"/>
        <v>500000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7"/>
        <v>8750000</v>
      </c>
      <c r="E146" s="26"/>
      <c r="F146" s="62">
        <f t="shared" si="28"/>
        <v>8750000</v>
      </c>
      <c r="G146" s="62">
        <v>8750000</v>
      </c>
      <c r="H146" s="62">
        <f>1500000</f>
        <v>1500000</v>
      </c>
      <c r="I146" s="50">
        <f>H146/G146*100</f>
        <v>17.142857142857142</v>
      </c>
      <c r="J146" s="50">
        <f t="shared" si="25"/>
        <v>100</v>
      </c>
      <c r="L146" s="73">
        <f t="shared" si="26"/>
        <v>0</v>
      </c>
      <c r="M146" s="55"/>
      <c r="N146" s="55"/>
      <c r="O146" s="55">
        <f>4375000-2875000</f>
        <v>1500000</v>
      </c>
      <c r="P146" s="55"/>
      <c r="Q146" s="55"/>
      <c r="R146" s="55"/>
      <c r="S146" s="55">
        <f>2000000+2091666.54</f>
        <v>4091666.54</v>
      </c>
      <c r="T146" s="55">
        <f>2375000+783333.46</f>
        <v>3158333.46</v>
      </c>
      <c r="U146" s="55"/>
      <c r="V146" s="55"/>
      <c r="W146" s="55"/>
      <c r="X146" s="55"/>
      <c r="Y146" s="22">
        <f t="shared" si="29"/>
        <v>8750000</v>
      </c>
      <c r="Z146" s="39">
        <f t="shared" si="30"/>
        <v>0</v>
      </c>
    </row>
    <row r="147" spans="1:26" ht="26.25" customHeight="1">
      <c r="A147" s="1"/>
      <c r="B147" s="20"/>
      <c r="C147" s="61" t="s">
        <v>54</v>
      </c>
      <c r="D147" s="62">
        <f t="shared" si="27"/>
        <v>8600000</v>
      </c>
      <c r="E147" s="26"/>
      <c r="F147" s="62">
        <f t="shared" si="28"/>
        <v>8600000</v>
      </c>
      <c r="G147" s="62">
        <v>8600000</v>
      </c>
      <c r="H147" s="62">
        <f>3300000+3111386.39+40091.81</f>
        <v>6451478.2</v>
      </c>
      <c r="I147" s="50">
        <f>H147/G147*100</f>
        <v>75.01718837209303</v>
      </c>
      <c r="J147" s="63">
        <f t="shared" si="25"/>
        <v>195.4993393939394</v>
      </c>
      <c r="L147" s="73">
        <f t="shared" si="26"/>
        <v>3151478.2</v>
      </c>
      <c r="M147" s="55"/>
      <c r="N147" s="55"/>
      <c r="O147" s="55">
        <f>4300000-1000000</f>
        <v>3300000</v>
      </c>
      <c r="P147" s="55"/>
      <c r="Q147" s="55"/>
      <c r="R147" s="55"/>
      <c r="S147" s="55">
        <v>2000000</v>
      </c>
      <c r="T147" s="55">
        <f>2300000+1000000</f>
        <v>3300000</v>
      </c>
      <c r="U147" s="55"/>
      <c r="V147" s="55"/>
      <c r="W147" s="55"/>
      <c r="X147" s="55"/>
      <c r="Y147" s="22">
        <f t="shared" si="29"/>
        <v>8600000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7"/>
        <v>5000000</v>
      </c>
      <c r="E148" s="26"/>
      <c r="F148" s="62">
        <f t="shared" si="28"/>
        <v>5000000</v>
      </c>
      <c r="G148" s="62">
        <v>5000000</v>
      </c>
      <c r="H148" s="62"/>
      <c r="I148" s="50"/>
      <c r="J148" s="63" t="e">
        <f t="shared" si="25"/>
        <v>#DIV/0!</v>
      </c>
      <c r="L148" s="73">
        <f t="shared" si="26"/>
        <v>0</v>
      </c>
      <c r="M148" s="55"/>
      <c r="N148" s="55"/>
      <c r="O148" s="55"/>
      <c r="P148" s="55"/>
      <c r="Q148" s="55"/>
      <c r="R148" s="55"/>
      <c r="S148" s="55">
        <v>350000</v>
      </c>
      <c r="T148" s="55">
        <v>350000</v>
      </c>
      <c r="U148" s="55"/>
      <c r="V148" s="55">
        <v>2150000</v>
      </c>
      <c r="W148" s="55">
        <v>2150000</v>
      </c>
      <c r="X148" s="55"/>
      <c r="Y148" s="22">
        <f t="shared" si="29"/>
        <v>5000000</v>
      </c>
      <c r="Z148" s="39">
        <f t="shared" si="30"/>
        <v>0</v>
      </c>
    </row>
    <row r="149" spans="1:26" ht="24" customHeight="1">
      <c r="A149" s="1"/>
      <c r="B149" s="20"/>
      <c r="C149" s="61" t="s">
        <v>56</v>
      </c>
      <c r="D149" s="62">
        <f t="shared" si="27"/>
        <v>7700000</v>
      </c>
      <c r="E149" s="26"/>
      <c r="F149" s="62">
        <f t="shared" si="28"/>
        <v>7700000</v>
      </c>
      <c r="G149" s="62">
        <v>7700000</v>
      </c>
      <c r="H149" s="62"/>
      <c r="I149" s="50"/>
      <c r="J149" s="63" t="e">
        <f t="shared" si="25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150000</v>
      </c>
      <c r="T149" s="55"/>
      <c r="U149" s="55">
        <v>3775000</v>
      </c>
      <c r="V149" s="55"/>
      <c r="W149" s="55">
        <v>714800</v>
      </c>
      <c r="X149" s="55">
        <v>3060200</v>
      </c>
      <c r="Y149" s="22">
        <f t="shared" si="29"/>
        <v>7700000</v>
      </c>
      <c r="Z149" s="39">
        <f t="shared" si="30"/>
        <v>0</v>
      </c>
    </row>
    <row r="150" spans="1:26" ht="21" customHeight="1">
      <c r="A150" s="1"/>
      <c r="B150" s="20"/>
      <c r="C150" s="61" t="s">
        <v>57</v>
      </c>
      <c r="D150" s="62">
        <f t="shared" si="27"/>
        <v>1000000</v>
      </c>
      <c r="E150" s="26"/>
      <c r="F150" s="62">
        <f t="shared" si="28"/>
        <v>1000000</v>
      </c>
      <c r="G150" s="62">
        <v>1000000</v>
      </c>
      <c r="H150" s="62"/>
      <c r="I150" s="50"/>
      <c r="J150" s="63" t="e">
        <f t="shared" si="25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/>
      <c r="T150" s="55"/>
      <c r="U150" s="55">
        <v>300000</v>
      </c>
      <c r="V150" s="55"/>
      <c r="W150" s="55">
        <v>700000</v>
      </c>
      <c r="X150" s="55"/>
      <c r="Y150" s="22">
        <f t="shared" si="29"/>
        <v>1000000</v>
      </c>
      <c r="Z150" s="39">
        <f t="shared" si="30"/>
        <v>0</v>
      </c>
    </row>
    <row r="151" spans="1:26" ht="24" customHeight="1">
      <c r="A151" s="1"/>
      <c r="B151" s="20"/>
      <c r="C151" s="61" t="s">
        <v>58</v>
      </c>
      <c r="D151" s="62">
        <f t="shared" si="27"/>
        <v>500000</v>
      </c>
      <c r="E151" s="26"/>
      <c r="F151" s="62">
        <f t="shared" si="28"/>
        <v>500000</v>
      </c>
      <c r="G151" s="62">
        <v>500000</v>
      </c>
      <c r="H151" s="62"/>
      <c r="I151" s="50"/>
      <c r="J151" s="63" t="e">
        <f t="shared" si="25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250000</v>
      </c>
      <c r="V151" s="55"/>
      <c r="W151" s="55">
        <v>250000</v>
      </c>
      <c r="X151" s="55"/>
      <c r="Y151" s="22">
        <f t="shared" si="29"/>
        <v>500000</v>
      </c>
      <c r="Z151" s="39">
        <f t="shared" si="30"/>
        <v>0</v>
      </c>
    </row>
    <row r="152" spans="1:26" ht="24.75" customHeight="1">
      <c r="A152" s="1"/>
      <c r="B152" s="20"/>
      <c r="C152" s="61" t="s">
        <v>59</v>
      </c>
      <c r="D152" s="62">
        <f t="shared" si="27"/>
        <v>5000000</v>
      </c>
      <c r="E152" s="26"/>
      <c r="F152" s="62">
        <f t="shared" si="28"/>
        <v>5000000</v>
      </c>
      <c r="G152" s="62">
        <v>5000000</v>
      </c>
      <c r="H152" s="62">
        <f>1460000+1581342.49</f>
        <v>3041342.49</v>
      </c>
      <c r="I152" s="50">
        <f>H152/G152*100</f>
        <v>60.826849800000005</v>
      </c>
      <c r="J152" s="50">
        <f t="shared" si="25"/>
        <v>99.87578473790076</v>
      </c>
      <c r="L152" s="73">
        <f t="shared" si="26"/>
        <v>-3782.5099999997765</v>
      </c>
      <c r="M152" s="55"/>
      <c r="N152" s="55"/>
      <c r="O152" s="55"/>
      <c r="P152" s="55">
        <f>1460000+1585125</f>
        <v>3045125</v>
      </c>
      <c r="Q152" s="55"/>
      <c r="R152" s="55"/>
      <c r="S152" s="55">
        <f>2500000-1460000</f>
        <v>1040000</v>
      </c>
      <c r="T152" s="55"/>
      <c r="U152" s="55">
        <v>114435</v>
      </c>
      <c r="V152" s="55"/>
      <c r="W152" s="55">
        <f>2385565-1585125</f>
        <v>800440</v>
      </c>
      <c r="X152" s="55"/>
      <c r="Y152" s="22">
        <f t="shared" si="29"/>
        <v>5000000</v>
      </c>
      <c r="Z152" s="39">
        <f t="shared" si="30"/>
        <v>0</v>
      </c>
    </row>
    <row r="153" spans="1:26" ht="22.5" customHeight="1">
      <c r="A153" s="1"/>
      <c r="B153" s="20"/>
      <c r="C153" s="61" t="s">
        <v>60</v>
      </c>
      <c r="D153" s="62">
        <f t="shared" si="27"/>
        <v>500000</v>
      </c>
      <c r="E153" s="26"/>
      <c r="F153" s="62">
        <f t="shared" si="28"/>
        <v>500000</v>
      </c>
      <c r="G153" s="62">
        <v>500000</v>
      </c>
      <c r="H153" s="62">
        <f>14391.08</f>
        <v>14391.08</v>
      </c>
      <c r="I153" s="50">
        <f>H153/G153*100</f>
        <v>2.878216</v>
      </c>
      <c r="J153" s="50">
        <f t="shared" si="25"/>
        <v>99.2488275862069</v>
      </c>
      <c r="L153" s="73">
        <f t="shared" si="26"/>
        <v>-108.92000000000007</v>
      </c>
      <c r="M153" s="55"/>
      <c r="N153" s="55"/>
      <c r="O153" s="55">
        <f>14500</f>
        <v>14500</v>
      </c>
      <c r="P153" s="55"/>
      <c r="Q153" s="55"/>
      <c r="R153" s="55"/>
      <c r="S153" s="55"/>
      <c r="T153" s="55">
        <f>500000-14500</f>
        <v>485500</v>
      </c>
      <c r="U153" s="55"/>
      <c r="V153" s="55"/>
      <c r="W153" s="55"/>
      <c r="X153" s="55"/>
      <c r="Y153" s="22">
        <f t="shared" si="29"/>
        <v>500000</v>
      </c>
      <c r="Z153" s="39">
        <f t="shared" si="30"/>
        <v>0</v>
      </c>
    </row>
    <row r="154" spans="1:26" ht="26.25" customHeight="1">
      <c r="A154" s="1"/>
      <c r="B154" s="20"/>
      <c r="C154" s="61" t="s">
        <v>61</v>
      </c>
      <c r="D154" s="62">
        <f t="shared" si="27"/>
        <v>1000000</v>
      </c>
      <c r="E154" s="26"/>
      <c r="F154" s="62">
        <f t="shared" si="28"/>
        <v>1000000</v>
      </c>
      <c r="G154" s="62">
        <v>1000000</v>
      </c>
      <c r="H154" s="62"/>
      <c r="I154" s="42"/>
      <c r="J154" s="63">
        <f t="shared" si="25"/>
        <v>0</v>
      </c>
      <c r="L154" s="73">
        <f t="shared" si="26"/>
        <v>-500000</v>
      </c>
      <c r="M154" s="55"/>
      <c r="N154" s="55"/>
      <c r="O154" s="55"/>
      <c r="P154" s="55"/>
      <c r="Q154" s="55">
        <v>500000</v>
      </c>
      <c r="R154" s="55"/>
      <c r="S154" s="55"/>
      <c r="T154" s="55">
        <v>500000</v>
      </c>
      <c r="U154" s="55"/>
      <c r="V154" s="55"/>
      <c r="W154" s="55"/>
      <c r="X154" s="55"/>
      <c r="Y154" s="22">
        <f t="shared" si="29"/>
        <v>1000000</v>
      </c>
      <c r="Z154" s="39">
        <f t="shared" si="30"/>
        <v>0</v>
      </c>
    </row>
    <row r="155" spans="1:26" ht="27.75" customHeight="1">
      <c r="A155" s="1"/>
      <c r="B155" s="20"/>
      <c r="C155" s="61" t="s">
        <v>62</v>
      </c>
      <c r="D155" s="62">
        <f t="shared" si="27"/>
        <v>1810000</v>
      </c>
      <c r="E155" s="26"/>
      <c r="F155" s="62">
        <f t="shared" si="28"/>
        <v>1810000</v>
      </c>
      <c r="G155" s="62">
        <v>1810000</v>
      </c>
      <c r="H155" s="62"/>
      <c r="I155" s="42"/>
      <c r="J155" s="63" t="e">
        <f t="shared" si="25"/>
        <v>#DIV/0!</v>
      </c>
      <c r="L155" s="73">
        <f t="shared" si="26"/>
        <v>0</v>
      </c>
      <c r="M155" s="55"/>
      <c r="N155" s="55"/>
      <c r="O155" s="55"/>
      <c r="P155" s="55"/>
      <c r="Q155" s="55"/>
      <c r="R155" s="55"/>
      <c r="S155" s="55"/>
      <c r="T155" s="55">
        <v>100000</v>
      </c>
      <c r="U155" s="55"/>
      <c r="V155" s="55"/>
      <c r="W155" s="55">
        <v>855000</v>
      </c>
      <c r="X155" s="55">
        <v>855000</v>
      </c>
      <c r="Y155" s="22">
        <f t="shared" si="29"/>
        <v>1810000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7"/>
        <v>37000000</v>
      </c>
      <c r="E156" s="26"/>
      <c r="F156" s="62">
        <f t="shared" si="28"/>
        <v>37000000</v>
      </c>
      <c r="G156" s="62">
        <f>27000000+1993500+8006500</f>
        <v>37000000</v>
      </c>
      <c r="H156" s="62">
        <f>16806225.23+2399840.4</f>
        <v>19206065.63</v>
      </c>
      <c r="I156" s="50">
        <f>H156/G156*100</f>
        <v>51.908285486486484</v>
      </c>
      <c r="J156" s="50">
        <f t="shared" si="25"/>
        <v>68.86486179386507</v>
      </c>
      <c r="L156" s="73">
        <f t="shared" si="26"/>
        <v>-8683434.370000001</v>
      </c>
      <c r="M156" s="55"/>
      <c r="N156" s="55"/>
      <c r="O156" s="55">
        <v>13483000</v>
      </c>
      <c r="P156" s="55">
        <f>14406500</f>
        <v>14406500</v>
      </c>
      <c r="Q156" s="55"/>
      <c r="R156" s="55"/>
      <c r="S156" s="55">
        <f>6750000-700000-3000000-2700000</f>
        <v>350000</v>
      </c>
      <c r="T156" s="55">
        <f>6750000+17000</f>
        <v>6767000</v>
      </c>
      <c r="U156" s="55"/>
      <c r="V156" s="55">
        <f>1833500</f>
        <v>1833500</v>
      </c>
      <c r="W156" s="55"/>
      <c r="X156" s="55">
        <f>160000</f>
        <v>160000</v>
      </c>
      <c r="Y156" s="22">
        <f t="shared" si="29"/>
        <v>37000000</v>
      </c>
      <c r="Z156" s="39">
        <f t="shared" si="30"/>
        <v>0</v>
      </c>
    </row>
    <row r="157" spans="1:26" ht="24.75" customHeight="1">
      <c r="A157" s="1"/>
      <c r="B157" s="20"/>
      <c r="C157" s="61" t="s">
        <v>188</v>
      </c>
      <c r="D157" s="62">
        <f t="shared" si="27"/>
        <v>1500000</v>
      </c>
      <c r="E157" s="26"/>
      <c r="F157" s="62">
        <f t="shared" si="28"/>
        <v>1500000</v>
      </c>
      <c r="G157" s="62">
        <v>1500000</v>
      </c>
      <c r="H157" s="62"/>
      <c r="I157" s="50"/>
      <c r="J157" s="63">
        <f t="shared" si="25"/>
        <v>0</v>
      </c>
      <c r="L157" s="73">
        <f t="shared" si="26"/>
        <v>-300000</v>
      </c>
      <c r="M157" s="55"/>
      <c r="N157" s="55"/>
      <c r="O157" s="55"/>
      <c r="P157" s="55"/>
      <c r="Q157" s="55">
        <v>300000</v>
      </c>
      <c r="R157" s="55"/>
      <c r="S157" s="55"/>
      <c r="T157" s="55"/>
      <c r="U157" s="55">
        <v>600000</v>
      </c>
      <c r="V157" s="55">
        <v>600000</v>
      </c>
      <c r="W157" s="55"/>
      <c r="X157" s="55"/>
      <c r="Y157" s="22">
        <f t="shared" si="29"/>
        <v>1500000</v>
      </c>
      <c r="Z157" s="39">
        <f t="shared" si="30"/>
        <v>0</v>
      </c>
    </row>
    <row r="158" spans="1:26" ht="45" customHeight="1">
      <c r="A158" s="1"/>
      <c r="B158" s="20"/>
      <c r="C158" s="64" t="s">
        <v>64</v>
      </c>
      <c r="D158" s="62">
        <f t="shared" si="27"/>
        <v>3200000</v>
      </c>
      <c r="E158" s="26"/>
      <c r="F158" s="62">
        <f t="shared" si="28"/>
        <v>3200000</v>
      </c>
      <c r="G158" s="65">
        <v>3200000</v>
      </c>
      <c r="H158" s="62">
        <f>1303449+951.6</f>
        <v>1304400.6</v>
      </c>
      <c r="I158" s="50">
        <f>H158/G158*100</f>
        <v>40.762518750000005</v>
      </c>
      <c r="J158" s="50">
        <f t="shared" si="25"/>
        <v>52.176024</v>
      </c>
      <c r="L158" s="73">
        <f t="shared" si="26"/>
        <v>-1195599.4</v>
      </c>
      <c r="M158" s="55"/>
      <c r="N158" s="55">
        <v>1600000</v>
      </c>
      <c r="O158" s="55">
        <f>1600000-700000</f>
        <v>900000</v>
      </c>
      <c r="P158" s="55"/>
      <c r="Q158" s="55"/>
      <c r="R158" s="55"/>
      <c r="S158" s="55">
        <f>700000</f>
        <v>700000</v>
      </c>
      <c r="T158" s="55"/>
      <c r="U158" s="55"/>
      <c r="V158" s="55"/>
      <c r="W158" s="55"/>
      <c r="X158" s="55"/>
      <c r="Y158" s="22">
        <f t="shared" si="29"/>
        <v>3200000</v>
      </c>
      <c r="Z158" s="39">
        <f t="shared" si="30"/>
        <v>0</v>
      </c>
    </row>
    <row r="159" spans="1:26" ht="45" customHeight="1">
      <c r="A159" s="1"/>
      <c r="B159" s="20"/>
      <c r="C159" s="61" t="s">
        <v>65</v>
      </c>
      <c r="D159" s="62">
        <f t="shared" si="27"/>
        <v>147000</v>
      </c>
      <c r="E159" s="26"/>
      <c r="F159" s="62">
        <f t="shared" si="28"/>
        <v>147000</v>
      </c>
      <c r="G159" s="62">
        <v>147000</v>
      </c>
      <c r="H159" s="24"/>
      <c r="I159" s="42"/>
      <c r="J159" s="63" t="e">
        <f t="shared" si="25"/>
        <v>#DIV/0!</v>
      </c>
      <c r="L159" s="73">
        <f t="shared" si="26"/>
        <v>0</v>
      </c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>
        <v>147000</v>
      </c>
      <c r="X159" s="55"/>
      <c r="Y159" s="22">
        <f t="shared" si="29"/>
        <v>147000</v>
      </c>
      <c r="Z159" s="39">
        <f t="shared" si="30"/>
        <v>0</v>
      </c>
    </row>
    <row r="160" spans="1:26" ht="45" customHeight="1">
      <c r="A160" s="1"/>
      <c r="B160" s="20"/>
      <c r="C160" s="61" t="s">
        <v>66</v>
      </c>
      <c r="D160" s="62">
        <f t="shared" si="27"/>
        <v>1036000</v>
      </c>
      <c r="E160" s="26"/>
      <c r="F160" s="62">
        <f t="shared" si="28"/>
        <v>1036000</v>
      </c>
      <c r="G160" s="62">
        <v>1036000</v>
      </c>
      <c r="H160" s="24"/>
      <c r="I160" s="42"/>
      <c r="J160" s="63" t="e">
        <f t="shared" si="25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1036000</v>
      </c>
      <c r="X160" s="55"/>
      <c r="Y160" s="22">
        <f t="shared" si="29"/>
        <v>1036000</v>
      </c>
      <c r="Z160" s="39">
        <f t="shared" si="30"/>
        <v>0</v>
      </c>
    </row>
    <row r="161" spans="1:26" ht="45" customHeight="1">
      <c r="A161" s="1"/>
      <c r="B161" s="20"/>
      <c r="C161" s="61" t="s">
        <v>67</v>
      </c>
      <c r="D161" s="62">
        <f t="shared" si="27"/>
        <v>137000</v>
      </c>
      <c r="E161" s="26"/>
      <c r="F161" s="62">
        <f t="shared" si="28"/>
        <v>137000</v>
      </c>
      <c r="G161" s="62">
        <v>137000</v>
      </c>
      <c r="H161" s="24"/>
      <c r="I161" s="42"/>
      <c r="J161" s="63" t="e">
        <f t="shared" si="25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137000</v>
      </c>
      <c r="X161" s="55"/>
      <c r="Y161" s="22">
        <f t="shared" si="29"/>
        <v>137000</v>
      </c>
      <c r="Z161" s="39">
        <f t="shared" si="30"/>
        <v>0</v>
      </c>
    </row>
    <row r="162" spans="1:26" ht="45" customHeight="1">
      <c r="A162" s="1"/>
      <c r="B162" s="20"/>
      <c r="C162" s="61" t="s">
        <v>68</v>
      </c>
      <c r="D162" s="62">
        <f t="shared" si="27"/>
        <v>254000</v>
      </c>
      <c r="E162" s="26"/>
      <c r="F162" s="62">
        <f t="shared" si="28"/>
        <v>254000</v>
      </c>
      <c r="G162" s="62">
        <v>254000</v>
      </c>
      <c r="H162" s="24"/>
      <c r="I162" s="42"/>
      <c r="J162" s="63" t="e">
        <f t="shared" si="25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254000</v>
      </c>
      <c r="X162" s="55"/>
      <c r="Y162" s="22">
        <f t="shared" si="29"/>
        <v>254000</v>
      </c>
      <c r="Z162" s="39">
        <f t="shared" si="30"/>
        <v>0</v>
      </c>
    </row>
    <row r="163" spans="1:26" ht="45" customHeight="1">
      <c r="A163" s="1"/>
      <c r="B163" s="20"/>
      <c r="C163" s="61" t="s">
        <v>69</v>
      </c>
      <c r="D163" s="62">
        <f t="shared" si="27"/>
        <v>400000</v>
      </c>
      <c r="E163" s="26"/>
      <c r="F163" s="62">
        <f t="shared" si="28"/>
        <v>400000</v>
      </c>
      <c r="G163" s="62">
        <v>400000</v>
      </c>
      <c r="H163" s="24"/>
      <c r="I163" s="42"/>
      <c r="J163" s="63" t="e">
        <f t="shared" si="25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400000</v>
      </c>
      <c r="X163" s="55"/>
      <c r="Y163" s="22">
        <f t="shared" si="29"/>
        <v>400000</v>
      </c>
      <c r="Z163" s="39">
        <f t="shared" si="30"/>
        <v>0</v>
      </c>
    </row>
    <row r="164" spans="1:26" ht="45" customHeight="1">
      <c r="A164" s="1"/>
      <c r="B164" s="20"/>
      <c r="C164" s="66" t="s">
        <v>70</v>
      </c>
      <c r="D164" s="62">
        <f t="shared" si="27"/>
        <v>248000</v>
      </c>
      <c r="E164" s="26"/>
      <c r="F164" s="62">
        <f t="shared" si="28"/>
        <v>248000</v>
      </c>
      <c r="G164" s="67">
        <v>248000</v>
      </c>
      <c r="H164" s="24"/>
      <c r="I164" s="42"/>
      <c r="J164" s="63" t="e">
        <f t="shared" si="25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248000</v>
      </c>
      <c r="X164" s="55"/>
      <c r="Y164" s="22">
        <f t="shared" si="29"/>
        <v>248000</v>
      </c>
      <c r="Z164" s="39">
        <f t="shared" si="30"/>
        <v>0</v>
      </c>
    </row>
    <row r="165" spans="1:26" ht="45" customHeight="1">
      <c r="A165" s="1"/>
      <c r="B165" s="20"/>
      <c r="C165" s="61" t="s">
        <v>71</v>
      </c>
      <c r="D165" s="62">
        <f t="shared" si="27"/>
        <v>3300000</v>
      </c>
      <c r="E165" s="26"/>
      <c r="F165" s="62">
        <f t="shared" si="28"/>
        <v>3300000</v>
      </c>
      <c r="G165" s="62">
        <v>3300000</v>
      </c>
      <c r="H165" s="65">
        <f>2455.85</f>
        <v>2455.85</v>
      </c>
      <c r="I165" s="50">
        <f>H165/G165*100</f>
        <v>0.07441969696969697</v>
      </c>
      <c r="J165" s="50">
        <f t="shared" si="25"/>
        <v>0.24497256857855362</v>
      </c>
      <c r="L165" s="73">
        <f t="shared" si="26"/>
        <v>-1000044.15</v>
      </c>
      <c r="M165" s="55"/>
      <c r="N165" s="55"/>
      <c r="O165" s="55">
        <f>2500</f>
        <v>2500</v>
      </c>
      <c r="P165" s="55"/>
      <c r="Q165" s="55">
        <v>1000000</v>
      </c>
      <c r="R165" s="55"/>
      <c r="S165" s="55"/>
      <c r="T165" s="55">
        <f>2300000-2500</f>
        <v>2297500</v>
      </c>
      <c r="U165" s="55"/>
      <c r="V165" s="55"/>
      <c r="W165" s="55"/>
      <c r="X165" s="55"/>
      <c r="Y165" s="22">
        <f t="shared" si="29"/>
        <v>3300000</v>
      </c>
      <c r="Z165" s="39">
        <f t="shared" si="30"/>
        <v>0</v>
      </c>
    </row>
    <row r="166" spans="1:26" ht="45" customHeight="1">
      <c r="A166" s="1"/>
      <c r="B166" s="20"/>
      <c r="C166" s="61" t="s">
        <v>72</v>
      </c>
      <c r="D166" s="62">
        <f t="shared" si="27"/>
        <v>12120000</v>
      </c>
      <c r="E166" s="26"/>
      <c r="F166" s="62">
        <f t="shared" si="28"/>
        <v>12120000</v>
      </c>
      <c r="G166" s="62">
        <v>12120000</v>
      </c>
      <c r="H166" s="65">
        <f>37910.17+6413</f>
        <v>44323.17</v>
      </c>
      <c r="I166" s="50">
        <f>H166/G166*100</f>
        <v>0.3657027227722772</v>
      </c>
      <c r="J166" s="50">
        <f t="shared" si="25"/>
        <v>3.037497944078947</v>
      </c>
      <c r="L166" s="73">
        <f t="shared" si="26"/>
        <v>-1414876.83</v>
      </c>
      <c r="M166" s="55"/>
      <c r="N166" s="55"/>
      <c r="O166" s="55"/>
      <c r="P166" s="55">
        <f>3300000-1460000-1710000</f>
        <v>130000</v>
      </c>
      <c r="Q166" s="55">
        <v>1329200</v>
      </c>
      <c r="R166" s="55">
        <v>2379528.46</v>
      </c>
      <c r="S166" s="55">
        <f>330800+1460000+1710000</f>
        <v>3500800</v>
      </c>
      <c r="T166" s="55">
        <v>1991271.54</v>
      </c>
      <c r="U166" s="55"/>
      <c r="V166" s="55">
        <v>2789200</v>
      </c>
      <c r="W166" s="55"/>
      <c r="X166" s="55"/>
      <c r="Y166" s="22">
        <f t="shared" si="29"/>
        <v>12120000</v>
      </c>
      <c r="Z166" s="39">
        <f t="shared" si="30"/>
        <v>0</v>
      </c>
    </row>
    <row r="167" spans="1:26" ht="45" customHeight="1">
      <c r="A167" s="1"/>
      <c r="B167" s="20"/>
      <c r="C167" s="61" t="s">
        <v>73</v>
      </c>
      <c r="D167" s="62">
        <f t="shared" si="27"/>
        <v>18000000</v>
      </c>
      <c r="E167" s="26"/>
      <c r="F167" s="62">
        <f t="shared" si="28"/>
        <v>18000000</v>
      </c>
      <c r="G167" s="62">
        <v>18000000</v>
      </c>
      <c r="H167" s="65">
        <f>4351772.44+7541</f>
        <v>4359313.44</v>
      </c>
      <c r="I167" s="50">
        <f>H167/G167*100</f>
        <v>24.218408000000004</v>
      </c>
      <c r="J167" s="50">
        <f t="shared" si="25"/>
        <v>100.10199841623802</v>
      </c>
      <c r="L167" s="73">
        <f t="shared" si="26"/>
        <v>4441.9000000003725</v>
      </c>
      <c r="M167" s="55"/>
      <c r="N167" s="55"/>
      <c r="O167" s="55">
        <v>5644871.54</v>
      </c>
      <c r="P167" s="55">
        <f>-3000000+1710000</f>
        <v>-1290000</v>
      </c>
      <c r="Q167" s="55"/>
      <c r="R167" s="55"/>
      <c r="S167" s="55">
        <f>3355128.46+3000000-1710000</f>
        <v>4645128.46</v>
      </c>
      <c r="T167" s="55"/>
      <c r="U167" s="55"/>
      <c r="V167" s="55">
        <v>3000000</v>
      </c>
      <c r="W167" s="55">
        <v>3000000</v>
      </c>
      <c r="X167" s="55">
        <v>3000000</v>
      </c>
      <c r="Y167" s="22">
        <f t="shared" si="29"/>
        <v>18000000</v>
      </c>
      <c r="Z167" s="39">
        <f t="shared" si="30"/>
        <v>0</v>
      </c>
    </row>
    <row r="168" spans="1:26" ht="45" customHeight="1">
      <c r="A168" s="1"/>
      <c r="B168" s="20"/>
      <c r="C168" s="61" t="s">
        <v>74</v>
      </c>
      <c r="D168" s="62">
        <f t="shared" si="27"/>
        <v>8000000</v>
      </c>
      <c r="E168" s="26"/>
      <c r="F168" s="62">
        <f t="shared" si="28"/>
        <v>8000000</v>
      </c>
      <c r="G168" s="62">
        <v>8000000</v>
      </c>
      <c r="H168" s="65">
        <f>3875000</f>
        <v>3875000</v>
      </c>
      <c r="I168" s="50">
        <f>H168/G168*100</f>
        <v>48.4375</v>
      </c>
      <c r="J168" s="50">
        <f t="shared" si="25"/>
        <v>100</v>
      </c>
      <c r="L168" s="73">
        <f t="shared" si="26"/>
        <v>0</v>
      </c>
      <c r="M168" s="55"/>
      <c r="N168" s="55"/>
      <c r="O168" s="55">
        <f>3875000</f>
        <v>3875000</v>
      </c>
      <c r="P168" s="55"/>
      <c r="Q168" s="55"/>
      <c r="R168" s="55"/>
      <c r="S168" s="55">
        <f>2091666.54-2091666.54</f>
        <v>0</v>
      </c>
      <c r="T168" s="55">
        <f>1908333.46-1783333.46</f>
        <v>125000</v>
      </c>
      <c r="U168" s="55"/>
      <c r="V168" s="55"/>
      <c r="W168" s="55">
        <v>2000000</v>
      </c>
      <c r="X168" s="55">
        <v>2000000</v>
      </c>
      <c r="Y168" s="22">
        <f t="shared" si="29"/>
        <v>8000000</v>
      </c>
      <c r="Z168" s="39">
        <f t="shared" si="30"/>
        <v>0</v>
      </c>
    </row>
    <row r="169" spans="1:26" ht="45" customHeight="1">
      <c r="A169" s="1"/>
      <c r="B169" s="20"/>
      <c r="C169" s="61" t="s">
        <v>75</v>
      </c>
      <c r="D169" s="62">
        <f t="shared" si="27"/>
        <v>1000000</v>
      </c>
      <c r="E169" s="26"/>
      <c r="F169" s="62">
        <f t="shared" si="28"/>
        <v>1000000</v>
      </c>
      <c r="G169" s="62">
        <v>1000000</v>
      </c>
      <c r="H169" s="24"/>
      <c r="I169" s="42"/>
      <c r="J169" s="63" t="e">
        <f t="shared" si="25"/>
        <v>#DIV/0!</v>
      </c>
      <c r="L169" s="73">
        <f t="shared" si="26"/>
        <v>0</v>
      </c>
      <c r="M169" s="55"/>
      <c r="N169" s="55"/>
      <c r="O169" s="55"/>
      <c r="P169" s="55"/>
      <c r="Q169" s="55"/>
      <c r="R169" s="55"/>
      <c r="S169" s="55"/>
      <c r="T169" s="55"/>
      <c r="U169" s="55"/>
      <c r="V169" s="55">
        <v>500000</v>
      </c>
      <c r="W169" s="55"/>
      <c r="X169" s="55">
        <v>500000</v>
      </c>
      <c r="Y169" s="22">
        <f t="shared" si="29"/>
        <v>1000000</v>
      </c>
      <c r="Z169" s="39">
        <f t="shared" si="30"/>
        <v>0</v>
      </c>
    </row>
    <row r="170" spans="1:26" ht="24" customHeight="1">
      <c r="A170" s="1"/>
      <c r="B170" s="20"/>
      <c r="C170" s="66" t="s">
        <v>76</v>
      </c>
      <c r="D170" s="62">
        <f t="shared" si="27"/>
        <v>500000</v>
      </c>
      <c r="E170" s="26"/>
      <c r="F170" s="62">
        <f t="shared" si="28"/>
        <v>500000</v>
      </c>
      <c r="G170" s="67">
        <v>500000</v>
      </c>
      <c r="H170" s="24"/>
      <c r="I170" s="42"/>
      <c r="J170" s="63" t="e">
        <f t="shared" si="25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>
        <v>250000</v>
      </c>
      <c r="X170" s="55">
        <v>250000</v>
      </c>
      <c r="Y170" s="22">
        <f t="shared" si="29"/>
        <v>500000</v>
      </c>
      <c r="Z170" s="39">
        <f t="shared" si="30"/>
        <v>0</v>
      </c>
    </row>
    <row r="171" spans="1:26" ht="24.75" customHeight="1">
      <c r="A171" s="1"/>
      <c r="B171" s="20"/>
      <c r="C171" s="66" t="s">
        <v>77</v>
      </c>
      <c r="D171" s="62">
        <f t="shared" si="27"/>
        <v>1295000</v>
      </c>
      <c r="E171" s="26"/>
      <c r="F171" s="62">
        <f t="shared" si="28"/>
        <v>1295000</v>
      </c>
      <c r="G171" s="67">
        <f>5000000-500000-200000-3005000</f>
        <v>1295000</v>
      </c>
      <c r="H171" s="24"/>
      <c r="I171" s="42"/>
      <c r="J171" s="63" t="e">
        <f t="shared" si="25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>
        <f>100000</f>
        <v>100000</v>
      </c>
      <c r="T171" s="55"/>
      <c r="U171" s="55"/>
      <c r="V171" s="55"/>
      <c r="W171" s="55"/>
      <c r="X171" s="55">
        <f>1195000</f>
        <v>1195000</v>
      </c>
      <c r="Y171" s="22">
        <f t="shared" si="29"/>
        <v>1295000</v>
      </c>
      <c r="Z171" s="39">
        <f t="shared" si="30"/>
        <v>0</v>
      </c>
    </row>
    <row r="172" spans="1:26" ht="18.75">
      <c r="A172" s="28"/>
      <c r="B172" s="17"/>
      <c r="C172" s="29" t="s">
        <v>7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72537957.9</v>
      </c>
      <c r="I172" s="40">
        <f>H172/D172*100</f>
        <v>24.900596023563576</v>
      </c>
      <c r="J172" s="46">
        <f>H172/(M172+N172+O172+P172+Q172)*100</f>
        <v>70.77278870908495</v>
      </c>
      <c r="L172" s="73">
        <f t="shared" si="26"/>
        <v>-29956177.519999996</v>
      </c>
      <c r="M172" s="55">
        <f>M9+M139</f>
        <v>5500800</v>
      </c>
      <c r="N172" s="55">
        <f aca="true" t="shared" si="31" ref="N172:X172">N9+N26+N139</f>
        <v>7474745</v>
      </c>
      <c r="O172" s="55">
        <f t="shared" si="31"/>
        <v>53807055.42</v>
      </c>
      <c r="P172" s="55">
        <f t="shared" si="31"/>
        <v>21619022</v>
      </c>
      <c r="Q172" s="55">
        <f t="shared" si="31"/>
        <v>14092513</v>
      </c>
      <c r="R172" s="55">
        <f t="shared" si="31"/>
        <v>14866028.46</v>
      </c>
      <c r="S172" s="55">
        <f t="shared" si="31"/>
        <v>29804807</v>
      </c>
      <c r="T172" s="55">
        <f t="shared" si="31"/>
        <v>38212215.120000005</v>
      </c>
      <c r="U172" s="55">
        <f t="shared" si="31"/>
        <v>21496889</v>
      </c>
      <c r="V172" s="55">
        <f t="shared" si="31"/>
        <v>28346727</v>
      </c>
      <c r="W172" s="55">
        <f t="shared" si="31"/>
        <v>26271996</v>
      </c>
      <c r="X172" s="55">
        <f t="shared" si="31"/>
        <v>29817329</v>
      </c>
      <c r="Y172" s="22">
        <f>SUM(M172:X172)</f>
        <v>291310127</v>
      </c>
      <c r="Z172" s="39">
        <f>Y172-D172</f>
        <v>0</v>
      </c>
    </row>
    <row r="173" spans="1:12" ht="18.75">
      <c r="A173" s="33"/>
      <c r="B173" s="34"/>
      <c r="C173" s="35"/>
      <c r="D173" s="36"/>
      <c r="E173" s="36"/>
      <c r="F173" s="36"/>
      <c r="G173" s="36"/>
      <c r="L173" s="30"/>
    </row>
    <row r="174" spans="1:6" ht="18.75">
      <c r="A174" s="2"/>
      <c r="B174" s="30"/>
      <c r="C174" s="31"/>
      <c r="D174" s="3"/>
      <c r="E174" s="30"/>
      <c r="F174" s="30"/>
    </row>
  </sheetData>
  <sheetProtection/>
  <mergeCells count="28">
    <mergeCell ref="A138:J138"/>
    <mergeCell ref="V6:V7"/>
    <mergeCell ref="L6:L7"/>
    <mergeCell ref="M6:M7"/>
    <mergeCell ref="Q6:Q7"/>
    <mergeCell ref="H5:H6"/>
    <mergeCell ref="I5:I6"/>
    <mergeCell ref="J5:J6"/>
    <mergeCell ref="N6:N7"/>
    <mergeCell ref="J11:J1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J18:J25"/>
    <mergeCell ref="F5:F6"/>
    <mergeCell ref="A2:G2"/>
    <mergeCell ref="A3:G3"/>
    <mergeCell ref="A5:A6"/>
    <mergeCell ref="C5:C6"/>
    <mergeCell ref="D5:D6"/>
    <mergeCell ref="E5:E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2017-05-17T14:03:01Z</dcterms:modified>
  <cp:category/>
  <cp:version/>
  <cp:contentType/>
  <cp:contentStatus/>
</cp:coreProperties>
</file>